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M:\Grant Payments (M)\FORMS\Claim forms sorted by grant\Training\Training Forms - post GBER Rules 2024\Claim Forms\"/>
    </mc:Choice>
  </mc:AlternateContent>
  <xr:revisionPtr revIDLastSave="0" documentId="13_ncr:1_{BFA493F8-2803-42BE-A46A-7C2D168F1258}" xr6:coauthVersionLast="47" xr6:coauthVersionMax="47" xr10:uidLastSave="{00000000-0000-0000-0000-000000000000}"/>
  <bookViews>
    <workbookView xWindow="-98" yWindow="-98" windowWidth="20715" windowHeight="13276" tabRatio="731" xr2:uid="{00000000-000D-0000-FFFF-FFFF00000000}"/>
  </bookViews>
  <sheets>
    <sheet name="Control" sheetId="6" r:id="rId1"/>
    <sheet name="Cover Sheet (T)" sheetId="7" r:id="rId2"/>
    <sheet name="Current Claim" sheetId="8" r:id="rId3"/>
    <sheet name="Claim History" sheetId="11" r:id="rId4"/>
    <sheet name="Summary " sheetId="9" r:id="rId5"/>
    <sheet name="Payment Report" sheetId="4" r:id="rId6"/>
    <sheet name="Payment Letter" sheetId="5" r:id="rId7"/>
    <sheet name="Inspection P1" sheetId="15" r:id="rId8"/>
    <sheet name="P2" sheetId="16" r:id="rId9"/>
    <sheet name="Special Conditions Memo" sheetId="10" r:id="rId10"/>
    <sheet name="Validation process" sheetId="13" r:id="rId11"/>
    <sheet name="Proposed Reallocation" sheetId="14" r:id="rId12"/>
    <sheet name="Inspection Agenda" sheetId="17" r:id="rId13"/>
    <sheet name="Lease Confirm" sheetId="18" r:id="rId14"/>
    <sheet name="Incorporation Confirm" sheetId="21" r:id="rId15"/>
    <sheet name="Early Warning Clearance" sheetId="22" r:id="rId16"/>
    <sheet name="New Control Card" sheetId="24" r:id="rId17"/>
  </sheets>
  <externalReferences>
    <externalReference r:id="rId18"/>
  </externalReferences>
  <definedNames>
    <definedName name="FaxDate" localSheetId="15">'Early Warning Clearance'!$B$12</definedName>
    <definedName name="FaxDate" localSheetId="14">'Incorporation Confirm'!$B$11</definedName>
    <definedName name="FaxDate" localSheetId="13">'Lease Confirm'!$B$11</definedName>
    <definedName name="FaxFrom" localSheetId="15">'Early Warning Clearance'!$B$5</definedName>
    <definedName name="FaxFrom" localSheetId="14">'Incorporation Confirm'!$B$5</definedName>
    <definedName name="FaxFrom" localSheetId="13">'Lease Confirm'!$B$5</definedName>
    <definedName name="FaxSubject" localSheetId="15">'Early Warning Clearance'!$B$11</definedName>
    <definedName name="FaxSubject" localSheetId="14">'Incorporation Confirm'!$B$10</definedName>
    <definedName name="FaxSubject" localSheetId="13">'Lease Confirm'!$B$10</definedName>
    <definedName name="FaxTo" localSheetId="15">'Early Warning Clearance'!$B$4</definedName>
    <definedName name="FaxTo" localSheetId="14">'Incorporation Confirm'!$B$4</definedName>
    <definedName name="FaxTo" localSheetId="13">'Lease Confirm'!$B$4</definedName>
    <definedName name="MemoDate" localSheetId="9">'Special Conditions Memo'!$E$6</definedName>
    <definedName name="MemoExt" localSheetId="9">'Special Conditions Memo'!#REF!</definedName>
    <definedName name="MemoFrom" localSheetId="9">'Special Conditions Memo'!#REF!</definedName>
    <definedName name="MemoStart" localSheetId="9">'Special Conditions Memo'!$A$9</definedName>
    <definedName name="MemoSubject" localSheetId="9">'Special Conditions Memo'!$C$8</definedName>
    <definedName name="MemoTo" localSheetId="9">'Special Conditions Memo'!$C$6</definedName>
    <definedName name="_xlnm.Print_Area" localSheetId="16">'New Control Card'!$A$1:$Z$79</definedName>
    <definedName name="_xlnm.Print_Area" localSheetId="6">'Payment Letter'!$A$1:$K$51</definedName>
    <definedName name="_xlnm.Print_Area" localSheetId="5">'Payment Report'!$A$1:$J$78</definedName>
    <definedName name="_xlnm.Print_Area" localSheetId="9">'Special Conditions Memo'!$B$1:$I$43,'Special Conditions Memo'!$B$45:$I$87</definedName>
    <definedName name="_xlnm.Print_Area" localSheetId="10">'Validation process'!$A$1:$N$47</definedName>
    <definedName name="StartFax" localSheetId="15">'Early Warning Clearance'!$A$16</definedName>
    <definedName name="StartFax" localSheetId="14">'Incorporation Confirm'!$A$15</definedName>
    <definedName name="StartFax" localSheetId="13">'Lease Confirm'!$A$15</definedName>
    <definedName name="TitleOfContact">[1]Control!$P$17:$P$21</definedName>
    <definedName name="Type">Control!$O$17:$O$18</definedName>
    <definedName name="Z_1EC76FAB_2758_4300_AC85_53A1CA889FCC_.wvu.PrintArea" localSheetId="16" hidden="1">'New Control Card'!$A$1:$Z$79</definedName>
    <definedName name="Z_1EC76FAB_2758_4300_AC85_53A1CA889FCC_.wvu.Rows" localSheetId="16" hidden="1">'New Control Card'!$15:$20,'New Control Card'!$24:$25,'New Control Card'!$30:$41,'New Control Card'!$47:$47</definedName>
    <definedName name="Z_3D5D1F78_14A0_4789_82AE_B3430ECB0227_.wvu.PrintArea" localSheetId="16" hidden="1">'New Control Card'!$A$1:$Z$79</definedName>
    <definedName name="Z_3D5D1F78_14A0_4789_82AE_B3430ECB0227_.wvu.Rows" localSheetId="16" hidden="1">'New Control Card'!$15:$23,'New Control Card'!$26:$28,'New Control Card'!$30:$41</definedName>
    <definedName name="Z_57B10F1A_09B7_41ED_960F_7A7E1060A1C3_.wvu.PrintArea" localSheetId="16" hidden="1">'New Control Card'!$A$1:$Z$79</definedName>
    <definedName name="Z_57B10F1A_09B7_41ED_960F_7A7E1060A1C3_.wvu.Rows" localSheetId="16" hidden="1">'New Control Card'!$15:$28,'New Control Card'!$30:$41,'New Control Card'!$47:$47</definedName>
    <definedName name="Z_5EA445EB_9031_48E2_877E_5A7A160757D3_.wvu.PrintArea" localSheetId="16" hidden="1">'New Control Card'!$A$1:$Z$79</definedName>
    <definedName name="Z_5EA445EB_9031_48E2_877E_5A7A160757D3_.wvu.Rows" localSheetId="16" hidden="1">'New Control Card'!$24:$28,'New Control Card'!$34:$41,'New Control Card'!$46:$47</definedName>
    <definedName name="Z_84A37540_C786_4EB8_A8AC_93F916B75C08_.wvu.PrintArea" localSheetId="16" hidden="1">'New Control Card'!$A$1:$Z$79</definedName>
    <definedName name="Z_84A37540_C786_4EB8_A8AC_93F916B75C08_.wvu.Rows" localSheetId="16" hidden="1">'New Control Card'!$24:$28,'New Control Card'!$30:$33,'New Control Card'!$47:$47</definedName>
    <definedName name="Z_CF92E01D_29AF_4F35_9EF2_421F90B44B73_.wvu.PrintArea" localSheetId="16" hidden="1">'New Control Card'!$A$1:$Z$79</definedName>
    <definedName name="Z_CF92E01D_29AF_4F35_9EF2_421F90B44B73_.wvu.Rows" localSheetId="16" hidden="1">'New Control Card'!$15:$20,'New Control Card'!$26:$28,'New Control Card'!$30:$41,'New Control Card'!$47:$47</definedName>
    <definedName name="Z_FE600E7B_27C1_4AAC_84BD_34E26219E529_.wvu.PrintArea" localSheetId="16" hidden="1">'New Control Card'!$A$1:$Z$79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10" l="1"/>
  <c r="B13" i="21"/>
  <c r="B13" i="18"/>
  <c r="B38" i="13"/>
  <c r="C39" i="15"/>
  <c r="A20" i="15" l="1"/>
  <c r="C33" i="7" l="1"/>
  <c r="C31" i="7"/>
  <c r="C13" i="10" l="1"/>
  <c r="D53" i="6" l="1"/>
  <c r="D58" i="6"/>
  <c r="D57" i="6"/>
  <c r="D12" i="10" l="1"/>
  <c r="D56" i="10" l="1"/>
  <c r="D8" i="10"/>
  <c r="E82" i="10" s="1"/>
  <c r="D10" i="10"/>
  <c r="C41" i="10" s="1"/>
  <c r="C57" i="10"/>
  <c r="D54" i="10" l="1"/>
  <c r="D52" i="10"/>
  <c r="C60" i="10"/>
  <c r="A43" i="6" l="1"/>
  <c r="D18" i="10" l="1"/>
  <c r="C21" i="7" l="1"/>
  <c r="A45" i="6" l="1"/>
  <c r="A50" i="6" l="1"/>
  <c r="A6" i="8" l="1"/>
  <c r="A5" i="8"/>
  <c r="A19" i="22" l="1"/>
  <c r="E8" i="24" l="1"/>
  <c r="F8" i="24" s="1"/>
  <c r="D22" i="6"/>
  <c r="D4" i="24" s="1"/>
  <c r="B20" i="5" l="1"/>
  <c r="B21" i="5"/>
  <c r="W13" i="24" l="1"/>
  <c r="U13" i="24"/>
  <c r="S13" i="24"/>
  <c r="Q13" i="24"/>
  <c r="O13" i="24"/>
  <c r="M13" i="24"/>
  <c r="K13" i="24"/>
  <c r="I13" i="24"/>
  <c r="G13" i="24"/>
  <c r="W24" i="24"/>
  <c r="U24" i="24"/>
  <c r="S24" i="24"/>
  <c r="Q24" i="24"/>
  <c r="O24" i="24"/>
  <c r="M24" i="24"/>
  <c r="K24" i="24"/>
  <c r="I24" i="24"/>
  <c r="G24" i="24"/>
  <c r="W11" i="24"/>
  <c r="U11" i="24"/>
  <c r="S11" i="24"/>
  <c r="Q11" i="24"/>
  <c r="O11" i="24"/>
  <c r="M11" i="24"/>
  <c r="K11" i="24"/>
  <c r="I11" i="24"/>
  <c r="G11" i="24"/>
  <c r="A67" i="24" l="1"/>
  <c r="E42" i="24"/>
  <c r="I8" i="24"/>
  <c r="J9" i="24"/>
  <c r="X4" i="24"/>
  <c r="X3" i="24"/>
  <c r="D2" i="24"/>
  <c r="D1" i="24"/>
  <c r="Z79" i="24"/>
  <c r="Q79" i="24"/>
  <c r="O79" i="24"/>
  <c r="M79" i="24"/>
  <c r="K79" i="24"/>
  <c r="E79" i="24"/>
  <c r="A79" i="24"/>
  <c r="W78" i="24"/>
  <c r="S78" i="24"/>
  <c r="G78" i="24"/>
  <c r="W77" i="24"/>
  <c r="S77" i="24"/>
  <c r="G77" i="24"/>
  <c r="W76" i="24"/>
  <c r="S76" i="24"/>
  <c r="G76" i="24"/>
  <c r="W75" i="24"/>
  <c r="S75" i="24"/>
  <c r="G75" i="24"/>
  <c r="W74" i="24"/>
  <c r="S74" i="24"/>
  <c r="U74" i="24" s="1"/>
  <c r="G74" i="24"/>
  <c r="W73" i="24"/>
  <c r="S73" i="24"/>
  <c r="G73" i="24"/>
  <c r="W72" i="24"/>
  <c r="S72" i="24"/>
  <c r="G72" i="24"/>
  <c r="W71" i="24"/>
  <c r="S71" i="24"/>
  <c r="G71" i="24"/>
  <c r="W70" i="24"/>
  <c r="S70" i="24"/>
  <c r="G70" i="24"/>
  <c r="W69" i="24"/>
  <c r="S69" i="24"/>
  <c r="G69" i="24"/>
  <c r="W68" i="24"/>
  <c r="S68" i="24"/>
  <c r="G68" i="24"/>
  <c r="W67" i="24"/>
  <c r="S67" i="24"/>
  <c r="Q66" i="24"/>
  <c r="M66" i="24"/>
  <c r="K66" i="24"/>
  <c r="E66" i="24"/>
  <c r="C66" i="24"/>
  <c r="Y65" i="24"/>
  <c r="U65" i="24"/>
  <c r="I65" i="24"/>
  <c r="A65" i="24"/>
  <c r="Z64" i="24"/>
  <c r="Q64" i="24"/>
  <c r="O64" i="24"/>
  <c r="K64" i="24"/>
  <c r="C64" i="24"/>
  <c r="G64" i="24" s="1"/>
  <c r="A64" i="24"/>
  <c r="W63" i="24"/>
  <c r="S63" i="24"/>
  <c r="G63" i="24"/>
  <c r="W62" i="24"/>
  <c r="S62" i="24"/>
  <c r="G62" i="24"/>
  <c r="W61" i="24"/>
  <c r="S61" i="24"/>
  <c r="G61" i="24"/>
  <c r="W60" i="24"/>
  <c r="S60" i="24"/>
  <c r="G60" i="24"/>
  <c r="W59" i="24"/>
  <c r="S59" i="24"/>
  <c r="G59" i="24"/>
  <c r="W58" i="24"/>
  <c r="S58" i="24"/>
  <c r="G58" i="24"/>
  <c r="W57" i="24"/>
  <c r="S57" i="24"/>
  <c r="G57" i="24"/>
  <c r="W56" i="24"/>
  <c r="S56" i="24"/>
  <c r="U56" i="24" s="1"/>
  <c r="G56" i="24"/>
  <c r="W55" i="24"/>
  <c r="S55" i="24"/>
  <c r="G55" i="24"/>
  <c r="W54" i="24"/>
  <c r="S54" i="24"/>
  <c r="G54" i="24"/>
  <c r="W53" i="24"/>
  <c r="S53" i="24"/>
  <c r="G53" i="24"/>
  <c r="W52" i="24"/>
  <c r="S52" i="24"/>
  <c r="G52" i="24"/>
  <c r="Q51" i="24"/>
  <c r="K51" i="24"/>
  <c r="C51" i="24"/>
  <c r="Y50" i="24"/>
  <c r="U50" i="24"/>
  <c r="I50" i="24"/>
  <c r="A50" i="24"/>
  <c r="E47" i="24"/>
  <c r="E46" i="24"/>
  <c r="E41" i="24"/>
  <c r="U40" i="24"/>
  <c r="Q40" i="24"/>
  <c r="M40" i="24"/>
  <c r="I40" i="24"/>
  <c r="E40" i="24"/>
  <c r="H39" i="24"/>
  <c r="E38" i="24"/>
  <c r="E37" i="24"/>
  <c r="E36" i="24"/>
  <c r="E35" i="24"/>
  <c r="A34" i="24"/>
  <c r="A32" i="24"/>
  <c r="A30" i="24"/>
  <c r="D28" i="24"/>
  <c r="D27" i="24"/>
  <c r="D26" i="24"/>
  <c r="C25" i="24"/>
  <c r="C24" i="24"/>
  <c r="A24" i="24"/>
  <c r="W21" i="24"/>
  <c r="U21" i="24"/>
  <c r="S21" i="24"/>
  <c r="Q21" i="24"/>
  <c r="A21" i="24"/>
  <c r="U20" i="24"/>
  <c r="Q20" i="24"/>
  <c r="M20" i="24"/>
  <c r="I20" i="24"/>
  <c r="A20" i="24"/>
  <c r="A19" i="24"/>
  <c r="A18" i="24"/>
  <c r="A17" i="24"/>
  <c r="A16" i="24"/>
  <c r="A15" i="24"/>
  <c r="T5" i="24"/>
  <c r="T4" i="24"/>
  <c r="T3" i="24"/>
  <c r="T2" i="24"/>
  <c r="T1" i="24"/>
  <c r="U60" i="24" l="1"/>
  <c r="U70" i="24"/>
  <c r="U78" i="24"/>
  <c r="S64" i="24"/>
  <c r="U55" i="24"/>
  <c r="U59" i="24"/>
  <c r="U63" i="24"/>
  <c r="U69" i="24"/>
  <c r="U73" i="24"/>
  <c r="U77" i="24"/>
  <c r="U54" i="24"/>
  <c r="U58" i="24"/>
  <c r="U62" i="24"/>
  <c r="U68" i="24"/>
  <c r="U72" i="24"/>
  <c r="U76" i="24"/>
  <c r="U53" i="24"/>
  <c r="U57" i="24"/>
  <c r="U61" i="24"/>
  <c r="U67" i="24"/>
  <c r="U71" i="24"/>
  <c r="U75" i="24"/>
  <c r="I41" i="24"/>
  <c r="M41" i="24" s="1"/>
  <c r="Q41" i="24" s="1"/>
  <c r="U41" i="24" s="1"/>
  <c r="I79" i="24"/>
  <c r="I64" i="24"/>
  <c r="W79" i="24"/>
  <c r="W64" i="24"/>
  <c r="S79" i="24"/>
  <c r="U52" i="24"/>
  <c r="B23" i="5"/>
  <c r="U79" i="24" l="1"/>
  <c r="U64" i="24"/>
  <c r="B13" i="22" l="1"/>
  <c r="B14" i="22"/>
  <c r="B15" i="22"/>
  <c r="B7" i="15"/>
  <c r="B46" i="5"/>
  <c r="B59" i="4"/>
  <c r="B16" i="22"/>
  <c r="F19" i="10" l="1"/>
  <c r="A3" i="15" l="1"/>
  <c r="A54" i="6" l="1"/>
  <c r="B15" i="21" l="1"/>
  <c r="B15" i="18"/>
  <c r="A22" i="21" l="1"/>
  <c r="B14" i="21"/>
  <c r="B14" i="18"/>
  <c r="B15" i="17" l="1"/>
  <c r="B13" i="17" l="1"/>
  <c r="B11" i="17"/>
  <c r="B9" i="17"/>
  <c r="B7" i="17"/>
  <c r="B5" i="17"/>
  <c r="D4" i="13" l="1"/>
  <c r="D6" i="13"/>
  <c r="D7" i="13"/>
  <c r="A34" i="8"/>
  <c r="A32" i="8"/>
  <c r="A36" i="8"/>
  <c r="D19" i="10" l="1"/>
  <c r="C29" i="7" l="1"/>
  <c r="B27" i="7"/>
  <c r="B27" i="6" l="1"/>
  <c r="C28" i="7" l="1"/>
  <c r="F9" i="24"/>
  <c r="C21" i="10"/>
  <c r="C18" i="10"/>
  <c r="A23" i="16" l="1"/>
  <c r="A3" i="4"/>
  <c r="E6" i="4" l="1"/>
  <c r="D44" i="6"/>
  <c r="C15" i="10" l="1"/>
  <c r="A21" i="16"/>
  <c r="E6" i="16"/>
  <c r="C17" i="15" l="1"/>
  <c r="C16" i="15"/>
  <c r="D14" i="15"/>
  <c r="H27" i="15" s="1"/>
  <c r="D13" i="15"/>
  <c r="D27" i="15" s="1"/>
  <c r="H9" i="15"/>
  <c r="B10" i="15"/>
  <c r="B9" i="15"/>
  <c r="H7" i="15"/>
  <c r="G15" i="16"/>
  <c r="C16" i="9" l="1"/>
  <c r="C17" i="9"/>
  <c r="C15" i="9"/>
  <c r="C11" i="9"/>
  <c r="F29" i="10" l="1"/>
  <c r="B25" i="4"/>
  <c r="C8" i="8"/>
  <c r="D11" i="8"/>
  <c r="C27" i="7"/>
  <c r="B39" i="13"/>
  <c r="C8" i="11" l="1"/>
  <c r="C8" i="9"/>
  <c r="D20" i="14"/>
  <c r="D9" i="14"/>
  <c r="D22" i="14" l="1"/>
  <c r="C10" i="11" l="1"/>
  <c r="F10" i="9"/>
  <c r="E10" i="9"/>
  <c r="D10" i="9"/>
  <c r="C10" i="9"/>
  <c r="F10" i="11" l="1"/>
  <c r="E10" i="11"/>
  <c r="D10" i="11"/>
  <c r="D6" i="9"/>
  <c r="D6" i="11"/>
  <c r="D29" i="4" l="1"/>
  <c r="E16" i="11"/>
  <c r="E16" i="9" s="1"/>
  <c r="C16" i="11"/>
  <c r="C15" i="11"/>
  <c r="C11" i="11"/>
  <c r="C13" i="11" l="1"/>
  <c r="G26" i="8"/>
  <c r="G28" i="6"/>
  <c r="B26" i="5" l="1"/>
  <c r="H5" i="4" l="1"/>
  <c r="H8" i="10" l="1"/>
  <c r="D22" i="10"/>
  <c r="C17" i="11" l="1"/>
  <c r="C18" i="9"/>
  <c r="C19" i="9"/>
  <c r="C19" i="11" l="1"/>
  <c r="C18" i="11"/>
  <c r="H30" i="6" l="1"/>
  <c r="E11" i="11" l="1"/>
  <c r="H31" i="6"/>
  <c r="I31" i="6"/>
  <c r="I32" i="6"/>
  <c r="I33" i="6"/>
  <c r="I34" i="6"/>
  <c r="I35" i="6"/>
  <c r="I36" i="6"/>
  <c r="I37" i="6"/>
  <c r="H33" i="6"/>
  <c r="E17" i="11" s="1"/>
  <c r="H34" i="6"/>
  <c r="H35" i="6"/>
  <c r="H36" i="6"/>
  <c r="H37" i="6"/>
  <c r="I30" i="6"/>
  <c r="F37" i="6"/>
  <c r="C21" i="9" s="1"/>
  <c r="F36" i="6"/>
  <c r="C20" i="9" s="1"/>
  <c r="E17" i="9" l="1"/>
  <c r="E11" i="9"/>
  <c r="C20" i="11"/>
  <c r="C21" i="11"/>
  <c r="F11" i="11"/>
  <c r="F11" i="9" s="1"/>
  <c r="E21" i="11"/>
  <c r="E21" i="9" s="1"/>
  <c r="F19" i="11"/>
  <c r="F19" i="9" s="1"/>
  <c r="F15" i="11"/>
  <c r="F15" i="9" s="1"/>
  <c r="F18" i="11"/>
  <c r="F18" i="9" s="1"/>
  <c r="F17" i="11"/>
  <c r="F17" i="9" s="1"/>
  <c r="E20" i="11"/>
  <c r="E20" i="9" s="1"/>
  <c r="E15" i="11"/>
  <c r="E19" i="11"/>
  <c r="F21" i="11"/>
  <c r="F21" i="9" s="1"/>
  <c r="E18" i="11"/>
  <c r="F20" i="11"/>
  <c r="F20" i="9" s="1"/>
  <c r="F16" i="11"/>
  <c r="G37" i="6"/>
  <c r="J37" i="6" s="1"/>
  <c r="D18" i="11" l="1"/>
  <c r="D11" i="11"/>
  <c r="F16" i="9"/>
  <c r="D16" i="11"/>
  <c r="E19" i="9"/>
  <c r="D19" i="11"/>
  <c r="D21" i="11"/>
  <c r="D17" i="11"/>
  <c r="E15" i="9"/>
  <c r="D15" i="11"/>
  <c r="D20" i="11"/>
  <c r="C23" i="11"/>
  <c r="C25" i="11" s="1"/>
  <c r="E13" i="11"/>
  <c r="E18" i="9"/>
  <c r="F13" i="11"/>
  <c r="F23" i="11"/>
  <c r="E23" i="11"/>
  <c r="C20" i="7"/>
  <c r="E25" i="11" l="1"/>
  <c r="F25" i="11"/>
  <c r="D13" i="11"/>
  <c r="D23" i="11"/>
  <c r="D36" i="4"/>
  <c r="D35" i="4"/>
  <c r="D34" i="4"/>
  <c r="D33" i="4"/>
  <c r="D32" i="4"/>
  <c r="D31" i="4"/>
  <c r="D30" i="4"/>
  <c r="G33" i="6"/>
  <c r="J33" i="6" s="1"/>
  <c r="E33" i="6" s="1"/>
  <c r="G34" i="6"/>
  <c r="J34" i="6" s="1"/>
  <c r="G35" i="6"/>
  <c r="J35" i="6" s="1"/>
  <c r="G36" i="6"/>
  <c r="J36" i="6" s="1"/>
  <c r="G32" i="6"/>
  <c r="J32" i="6" s="1"/>
  <c r="I29" i="6"/>
  <c r="H29" i="6"/>
  <c r="G29" i="6"/>
  <c r="F29" i="6"/>
  <c r="D25" i="11" l="1"/>
  <c r="F38" i="6"/>
  <c r="C14" i="16" s="1"/>
  <c r="C17" i="16" s="1"/>
  <c r="G31" i="6"/>
  <c r="J31" i="6" s="1"/>
  <c r="I38" i="6"/>
  <c r="H38" i="6"/>
  <c r="G30" i="6"/>
  <c r="J30" i="6" s="1"/>
  <c r="D52" i="4" l="1"/>
  <c r="F28" i="10"/>
  <c r="G38" i="6"/>
  <c r="E14" i="16" s="1"/>
  <c r="E17" i="16" s="1"/>
  <c r="D38" i="6" l="1"/>
  <c r="C67" i="24" s="1"/>
  <c r="C24" i="8"/>
  <c r="F24" i="8" s="1"/>
  <c r="C23" i="8"/>
  <c r="F23" i="8" s="1"/>
  <c r="C22" i="8"/>
  <c r="F22" i="8" s="1"/>
  <c r="C21" i="8"/>
  <c r="F21" i="8" s="1"/>
  <c r="C20" i="8"/>
  <c r="F20" i="8" s="1"/>
  <c r="C19" i="8"/>
  <c r="F19" i="8" s="1"/>
  <c r="C18" i="8"/>
  <c r="F18" i="8" s="1"/>
  <c r="C14" i="8"/>
  <c r="F14" i="8" s="1"/>
  <c r="C79" i="24" l="1"/>
  <c r="G79" i="24" s="1"/>
  <c r="G67" i="24"/>
  <c r="D14" i="16"/>
  <c r="D17" i="16" s="1"/>
  <c r="D23" i="15"/>
  <c r="D27" i="6"/>
  <c r="D4" i="6"/>
  <c r="I11" i="4" l="1"/>
  <c r="C13" i="8" l="1"/>
  <c r="B38" i="6" l="1"/>
  <c r="X2" i="24" s="1"/>
  <c r="G10" i="16" l="1"/>
  <c r="D25" i="6"/>
  <c r="H10" i="16"/>
  <c r="B14" i="16"/>
  <c r="B17" i="16" s="1"/>
  <c r="F13" i="8"/>
  <c r="E13" i="8" l="1"/>
  <c r="D13" i="8"/>
  <c r="C25" i="7"/>
  <c r="F27" i="10" l="1"/>
  <c r="F25" i="10"/>
  <c r="H11" i="4" l="1"/>
  <c r="D16" i="4"/>
  <c r="D17" i="4"/>
  <c r="D18" i="4"/>
  <c r="D19" i="4"/>
  <c r="D20" i="4"/>
  <c r="D21" i="4"/>
  <c r="D22" i="4"/>
  <c r="A16" i="4"/>
  <c r="A30" i="4" s="1"/>
  <c r="A42" i="4" s="1"/>
  <c r="A17" i="4"/>
  <c r="A31" i="4" s="1"/>
  <c r="A43" i="4" s="1"/>
  <c r="A18" i="4"/>
  <c r="A32" i="4" s="1"/>
  <c r="A44" i="4" s="1"/>
  <c r="A19" i="4"/>
  <c r="A33" i="4" s="1"/>
  <c r="A45" i="4" s="1"/>
  <c r="A20" i="4"/>
  <c r="A34" i="4" s="1"/>
  <c r="A46" i="4" s="1"/>
  <c r="A21" i="4"/>
  <c r="A22" i="4"/>
  <c r="A36" i="4" s="1"/>
  <c r="A48" i="4" s="1"/>
  <c r="D15" i="4"/>
  <c r="A15" i="4"/>
  <c r="A29" i="4" s="1"/>
  <c r="A41" i="4" s="1"/>
  <c r="B19" i="8"/>
  <c r="B20" i="8"/>
  <c r="B21" i="8"/>
  <c r="B22" i="8"/>
  <c r="B23" i="8"/>
  <c r="B24" i="8"/>
  <c r="B18" i="8"/>
  <c r="B14" i="8"/>
  <c r="A14" i="8"/>
  <c r="A19" i="8"/>
  <c r="A20" i="8"/>
  <c r="A21" i="8"/>
  <c r="A22" i="8"/>
  <c r="A23" i="8"/>
  <c r="A24" i="8"/>
  <c r="A18" i="8"/>
  <c r="C11" i="4"/>
  <c r="B3" i="14"/>
  <c r="D6" i="8"/>
  <c r="C26" i="7"/>
  <c r="B5" i="4"/>
  <c r="B31" i="5" s="1"/>
  <c r="C24" i="7"/>
  <c r="E5" i="16" s="1"/>
  <c r="F13" i="9"/>
  <c r="C22" i="7"/>
  <c r="C13" i="7"/>
  <c r="C15" i="7"/>
  <c r="C19" i="7"/>
  <c r="C17" i="7"/>
  <c r="C16" i="7"/>
  <c r="C14" i="7"/>
  <c r="B15" i="5"/>
  <c r="C12" i="7"/>
  <c r="E4" i="16" s="1"/>
  <c r="E26" i="8"/>
  <c r="D26" i="8"/>
  <c r="C26" i="8"/>
  <c r="H18" i="8"/>
  <c r="G16" i="8"/>
  <c r="E16" i="8"/>
  <c r="D16" i="8"/>
  <c r="C16" i="8"/>
  <c r="C9" i="4"/>
  <c r="C7" i="4"/>
  <c r="B35" i="5"/>
  <c r="B19" i="5"/>
  <c r="B18" i="5"/>
  <c r="B17" i="5"/>
  <c r="B16" i="5"/>
  <c r="B29" i="5"/>
  <c r="B21" i="9" l="1"/>
  <c r="C18" i="14" s="1"/>
  <c r="E18" i="14" s="1"/>
  <c r="B21" i="11"/>
  <c r="G21" i="11" s="1"/>
  <c r="A21" i="9"/>
  <c r="B18" i="14" s="1"/>
  <c r="A21" i="11"/>
  <c r="A11" i="9"/>
  <c r="B6" i="14" s="1"/>
  <c r="A11" i="11"/>
  <c r="A20" i="9"/>
  <c r="B17" i="14" s="1"/>
  <c r="A20" i="11"/>
  <c r="B20" i="9"/>
  <c r="C17" i="14" s="1"/>
  <c r="E17" i="14" s="1"/>
  <c r="B20" i="11"/>
  <c r="G20" i="11" s="1"/>
  <c r="B7" i="14"/>
  <c r="C12" i="14"/>
  <c r="E12" i="14" s="1"/>
  <c r="B17" i="9"/>
  <c r="C14" i="14" s="1"/>
  <c r="E14" i="14" s="1"/>
  <c r="B17" i="11"/>
  <c r="B16" i="9"/>
  <c r="C13" i="14" s="1"/>
  <c r="E13" i="14" s="1"/>
  <c r="B16" i="11"/>
  <c r="B19" i="9"/>
  <c r="C16" i="14" s="1"/>
  <c r="E16" i="14" s="1"/>
  <c r="B19" i="11"/>
  <c r="B15" i="9"/>
  <c r="C11" i="14" s="1"/>
  <c r="B15" i="11"/>
  <c r="B18" i="9"/>
  <c r="C15" i="14" s="1"/>
  <c r="E15" i="14" s="1"/>
  <c r="B18" i="11"/>
  <c r="C7" i="14"/>
  <c r="E7" i="14" s="1"/>
  <c r="A19" i="9"/>
  <c r="B16" i="14" s="1"/>
  <c r="A19" i="11"/>
  <c r="A15" i="9"/>
  <c r="B11" i="14" s="1"/>
  <c r="A15" i="11"/>
  <c r="A18" i="9"/>
  <c r="B15" i="14" s="1"/>
  <c r="A18" i="11"/>
  <c r="A17" i="9"/>
  <c r="B14" i="14" s="1"/>
  <c r="A17" i="11"/>
  <c r="A16" i="9"/>
  <c r="B13" i="14" s="1"/>
  <c r="A16" i="11"/>
  <c r="B12" i="14"/>
  <c r="D4" i="8"/>
  <c r="D4" i="9"/>
  <c r="D4" i="11"/>
  <c r="D5" i="11"/>
  <c r="D5" i="9"/>
  <c r="B11" i="9"/>
  <c r="B11" i="11"/>
  <c r="I18" i="8"/>
  <c r="H19" i="8"/>
  <c r="H24" i="8"/>
  <c r="H21" i="8"/>
  <c r="H23" i="8"/>
  <c r="I23" i="8" s="1"/>
  <c r="H20" i="8"/>
  <c r="I20" i="8" s="1"/>
  <c r="H22" i="8"/>
  <c r="I22" i="8" s="1"/>
  <c r="G28" i="8"/>
  <c r="D16" i="9"/>
  <c r="E28" i="8"/>
  <c r="D28" i="8"/>
  <c r="C13" i="9"/>
  <c r="A35" i="4"/>
  <c r="A47" i="4" s="1"/>
  <c r="D20" i="9"/>
  <c r="F23" i="9"/>
  <c r="F25" i="9" s="1"/>
  <c r="D19" i="9"/>
  <c r="D21" i="9"/>
  <c r="D5" i="8"/>
  <c r="D18" i="9"/>
  <c r="D17" i="9"/>
  <c r="F26" i="8"/>
  <c r="C28" i="8"/>
  <c r="C23" i="9"/>
  <c r="F16" i="8"/>
  <c r="H14" i="8"/>
  <c r="I14" i="8" s="1"/>
  <c r="D23" i="4"/>
  <c r="B16" i="8"/>
  <c r="B26" i="8"/>
  <c r="E51" i="4" l="1"/>
  <c r="E25" i="4"/>
  <c r="C6" i="14"/>
  <c r="E6" i="14" s="1"/>
  <c r="E9" i="14" s="1"/>
  <c r="D25" i="4"/>
  <c r="E11" i="14"/>
  <c r="E20" i="14" s="1"/>
  <c r="C20" i="14"/>
  <c r="C9" i="14"/>
  <c r="B23" i="9"/>
  <c r="H21" i="11"/>
  <c r="H20" i="11"/>
  <c r="I24" i="8"/>
  <c r="B13" i="9"/>
  <c r="G18" i="11"/>
  <c r="H18" i="11"/>
  <c r="H19" i="11"/>
  <c r="G19" i="11"/>
  <c r="H17" i="11"/>
  <c r="G17" i="11"/>
  <c r="B23" i="11"/>
  <c r="H15" i="11"/>
  <c r="G15" i="11"/>
  <c r="G16" i="11"/>
  <c r="H16" i="11"/>
  <c r="H11" i="11"/>
  <c r="H20" i="9"/>
  <c r="D47" i="4"/>
  <c r="I20" i="9"/>
  <c r="J23" i="8" s="1"/>
  <c r="D44" i="4"/>
  <c r="I17" i="9"/>
  <c r="J20" i="8" s="1"/>
  <c r="H17" i="9"/>
  <c r="H21" i="9"/>
  <c r="D48" i="4"/>
  <c r="I21" i="9"/>
  <c r="J24" i="8" s="1"/>
  <c r="H18" i="9"/>
  <c r="D45" i="4"/>
  <c r="I18" i="9"/>
  <c r="J21" i="8" s="1"/>
  <c r="H19" i="9"/>
  <c r="D46" i="4"/>
  <c r="I19" i="9"/>
  <c r="J22" i="8" s="1"/>
  <c r="H16" i="9"/>
  <c r="D43" i="4"/>
  <c r="I16" i="9"/>
  <c r="J19" i="8" s="1"/>
  <c r="B13" i="11"/>
  <c r="G11" i="11"/>
  <c r="I21" i="8"/>
  <c r="I19" i="8"/>
  <c r="H16" i="8"/>
  <c r="H26" i="8"/>
  <c r="C25" i="9"/>
  <c r="F28" i="8"/>
  <c r="B28" i="8"/>
  <c r="C22" i="14" l="1"/>
  <c r="E22" i="14"/>
  <c r="B25" i="9"/>
  <c r="B25" i="11"/>
  <c r="G25" i="11" s="1"/>
  <c r="H28" i="8"/>
  <c r="E13" i="9"/>
  <c r="D11" i="9"/>
  <c r="F14" i="16" l="1"/>
  <c r="I28" i="8"/>
  <c r="H25" i="11"/>
  <c r="I11" i="9"/>
  <c r="J14" i="8" s="1"/>
  <c r="F17" i="16"/>
  <c r="G14" i="16"/>
  <c r="G17" i="16" s="1"/>
  <c r="D15" i="9"/>
  <c r="E23" i="9"/>
  <c r="E25" i="9" s="1"/>
  <c r="D41" i="4"/>
  <c r="H11" i="9"/>
  <c r="H13" i="9" s="1"/>
  <c r="D37" i="4"/>
  <c r="H11" i="8"/>
  <c r="D13" i="9"/>
  <c r="B11" i="8" l="1"/>
  <c r="A8" i="8"/>
  <c r="H15" i="9"/>
  <c r="H23" i="9" s="1"/>
  <c r="H25" i="9" s="1"/>
  <c r="H28" i="9" s="1"/>
  <c r="I15" i="9"/>
  <c r="J18" i="8" s="1"/>
  <c r="D42" i="4"/>
  <c r="D49" i="4" s="1"/>
  <c r="D51" i="4" s="1"/>
  <c r="D23" i="9"/>
  <c r="D25" i="9" s="1"/>
  <c r="I25" i="9" s="1"/>
  <c r="I13" i="9"/>
  <c r="I10" i="8" l="1"/>
  <c r="I11" i="8"/>
  <c r="A7" i="8"/>
  <c r="D53" i="4"/>
  <c r="D55" i="4" s="1"/>
  <c r="B33" i="5" s="1"/>
  <c r="I23" i="9"/>
  <c r="J28" i="8"/>
  <c r="C10" i="16" l="1"/>
  <c r="H69" i="4"/>
</calcChain>
</file>

<file path=xl/sharedStrings.xml><?xml version="1.0" encoding="utf-8"?>
<sst xmlns="http://schemas.openxmlformats.org/spreadsheetml/2006/main" count="480" uniqueCount="342">
  <si>
    <t>Totals</t>
  </si>
  <si>
    <t>IDA IRELAND</t>
  </si>
  <si>
    <t xml:space="preserve">Company:  </t>
  </si>
  <si>
    <t>Project Address:</t>
  </si>
  <si>
    <t>Grant Approved:</t>
  </si>
  <si>
    <t>Approved Expenditure:</t>
  </si>
  <si>
    <t>Grant rate:</t>
  </si>
  <si>
    <t>Certified to Date:</t>
  </si>
  <si>
    <t>Approved to Date:</t>
  </si>
  <si>
    <t>Grant Payable Cumulative</t>
  </si>
  <si>
    <t>Grant Previously Paid</t>
  </si>
  <si>
    <t>Grant Payable This Payment</t>
  </si>
  <si>
    <t>Total Payable</t>
  </si>
  <si>
    <t xml:space="preserve">Project No: </t>
  </si>
  <si>
    <r>
      <rPr>
        <b/>
        <sz val="11"/>
        <color theme="1"/>
        <rFont val="Calibri"/>
        <family val="2"/>
        <scheme val="minor"/>
      </rPr>
      <t>Programme:</t>
    </r>
    <r>
      <rPr>
        <sz val="11"/>
        <color theme="1"/>
        <rFont val="Calibri"/>
        <family val="2"/>
        <scheme val="minor"/>
      </rPr>
      <t xml:space="preserve">  </t>
    </r>
  </si>
  <si>
    <t>Report No.</t>
  </si>
  <si>
    <r>
      <rPr>
        <b/>
        <sz val="11"/>
        <color theme="1"/>
        <rFont val="Calibri"/>
        <family val="2"/>
        <scheme val="minor"/>
      </rPr>
      <t>Date Approved:</t>
    </r>
    <r>
      <rPr>
        <sz val="11"/>
        <color theme="1"/>
        <rFont val="Calibri"/>
        <family val="2"/>
        <scheme val="minor"/>
      </rPr>
      <t xml:space="preserve">  </t>
    </r>
  </si>
  <si>
    <t>Project Numbers</t>
  </si>
  <si>
    <t xml:space="preserve">Created on CIS </t>
  </si>
  <si>
    <t xml:space="preserve">Batch Nr. </t>
  </si>
  <si>
    <t>Authorisation 1</t>
  </si>
  <si>
    <t>Authorisation 2</t>
  </si>
  <si>
    <t>Date</t>
  </si>
  <si>
    <t>(Grant Payments Advisor)</t>
  </si>
  <si>
    <t>I certify that the above case has been approved for gross payments amounting to</t>
  </si>
  <si>
    <t xml:space="preserve">(Chief Accountant) </t>
  </si>
  <si>
    <t>Cheque Signatory</t>
  </si>
  <si>
    <t>Cashier</t>
  </si>
  <si>
    <t xml:space="preserve">Cheque Signatory </t>
  </si>
  <si>
    <t>Prepared by</t>
  </si>
  <si>
    <t xml:space="preserve">Approved for payment </t>
  </si>
  <si>
    <t>Schedule Nr.</t>
  </si>
  <si>
    <t>Admin Ref</t>
  </si>
  <si>
    <t>Sen</t>
  </si>
  <si>
    <t>No</t>
  </si>
  <si>
    <t xml:space="preserve"> </t>
  </si>
  <si>
    <t>I trust that this is satisfactory.</t>
  </si>
  <si>
    <t>Yours sincerely</t>
  </si>
  <si>
    <t>______________________________</t>
  </si>
  <si>
    <t>Financial Management – Grants Administration</t>
  </si>
  <si>
    <t>Client Address Line 1</t>
  </si>
  <si>
    <t>Client Address Line 2</t>
  </si>
  <si>
    <t>Client Address Line 3</t>
  </si>
  <si>
    <t>Client Address Line 4</t>
  </si>
  <si>
    <t>Client Address Line 5</t>
  </si>
  <si>
    <t>Client Company Name</t>
  </si>
  <si>
    <t>Client Details</t>
  </si>
  <si>
    <t>Agreement Details</t>
  </si>
  <si>
    <t>Client Contact Surname</t>
  </si>
  <si>
    <t>Client Contact Title</t>
  </si>
  <si>
    <t>Client Contact First Name</t>
  </si>
  <si>
    <t>Mr</t>
  </si>
  <si>
    <t>Ms</t>
  </si>
  <si>
    <t>Mrs</t>
  </si>
  <si>
    <t>Miss</t>
  </si>
  <si>
    <t>Document Details</t>
  </si>
  <si>
    <t>Checklist of HRD &amp; Financial Audit Requirements</t>
  </si>
  <si>
    <t>For</t>
  </si>
  <si>
    <t>IDA Training Grant Drawdown</t>
  </si>
  <si>
    <t>Required From IDA</t>
  </si>
  <si>
    <t>Company Name</t>
  </si>
  <si>
    <t>Company  Address</t>
  </si>
  <si>
    <t>Address</t>
  </si>
  <si>
    <t>Company Contact Name</t>
  </si>
  <si>
    <t>Contact email</t>
  </si>
  <si>
    <t xml:space="preserve">Contact Number </t>
  </si>
  <si>
    <t>Project Number</t>
  </si>
  <si>
    <t>Date of Approval</t>
  </si>
  <si>
    <t>Amount of Approval</t>
  </si>
  <si>
    <t>Company Name:</t>
  </si>
  <si>
    <t>Project Number:</t>
  </si>
  <si>
    <t>Claim Number:</t>
  </si>
  <si>
    <t xml:space="preserve">being grant at </t>
  </si>
  <si>
    <t xml:space="preserve">on expenditure of </t>
  </si>
  <si>
    <t>Category</t>
  </si>
  <si>
    <t>Expenditure Approved by Committee</t>
  </si>
  <si>
    <t>Previously deferred expenditure released</t>
  </si>
  <si>
    <t>Expenditure now being cleared</t>
  </si>
  <si>
    <t xml:space="preserve">TOTAL TRAINEE COSTS </t>
  </si>
  <si>
    <t>TOTAL OTHER COSTS</t>
  </si>
  <si>
    <t xml:space="preserve">TOTAL </t>
  </si>
  <si>
    <t>Client Contact Telephone</t>
  </si>
  <si>
    <t>Client Contact Email</t>
  </si>
  <si>
    <t>Claim Number</t>
  </si>
  <si>
    <t>Ext</t>
  </si>
  <si>
    <t>01 603 4023</t>
  </si>
  <si>
    <t>Project No.</t>
  </si>
  <si>
    <t>€</t>
  </si>
  <si>
    <t>Approved</t>
  </si>
  <si>
    <t>Paid to date</t>
  </si>
  <si>
    <t>Claim on hand</t>
  </si>
  <si>
    <t>With Thanks</t>
  </si>
  <si>
    <t>M E M O</t>
  </si>
  <si>
    <t xml:space="preserve">INVESTMENT AND </t>
  </si>
  <si>
    <t>DEVELOPMENT AGENCY</t>
  </si>
  <si>
    <t>conditions were imposed at approval stage and must be satisfied before payment can be made:</t>
  </si>
  <si>
    <t xml:space="preserve">Company to submit satisfactory Annual Audited Accounts for the duration of the grant </t>
  </si>
  <si>
    <t>To</t>
  </si>
  <si>
    <t>From</t>
  </si>
  <si>
    <t>The current position on the grant claimed and paid is as follows:</t>
  </si>
  <si>
    <t xml:space="preserve">In accordance with the guidelines for the validation of non standard conditions please indicate, on </t>
  </si>
  <si>
    <t>the attached sheet, the level of compliance achieved to date for each condition specified.</t>
  </si>
  <si>
    <t>I recommend Grant Payments Department process the current claim on hand.</t>
  </si>
  <si>
    <t>payment.  The necessary proof of compliance is held on Project file/attached for Grant payments files.</t>
  </si>
  <si>
    <t xml:space="preserve">Proof of compliance is not available at this time.  I am satisfied the Company will comply with the </t>
  </si>
  <si>
    <t>condition(s) by ____________</t>
  </si>
  <si>
    <t xml:space="preserve">The Company have not fully complied with condition(s) _________ however, the project is </t>
  </si>
  <si>
    <t xml:space="preserve">complying with the spirit and intention of the condition.  I am satisfied that the structure and </t>
  </si>
  <si>
    <t xml:space="preserve">character of the project as originally approved and the protection afforded to IDA is not significantly </t>
  </si>
  <si>
    <t>diminished.</t>
  </si>
  <si>
    <t xml:space="preserve">Condition _______ is no longer relevant and accordingly should be cancelled.  The matter is being </t>
  </si>
  <si>
    <t>referred back to ________ for deletion.  A copy of the approval will be forwarded when available.</t>
  </si>
  <si>
    <t>Eligible Expenditure</t>
  </si>
  <si>
    <t>% Eligible Expenditure</t>
  </si>
  <si>
    <t>Total Eligible Expenditure =</t>
  </si>
  <si>
    <t>Project Executive</t>
  </si>
  <si>
    <t xml:space="preserve">I now recommend payment of </t>
  </si>
  <si>
    <t>Enter data in blue cells only</t>
  </si>
  <si>
    <t>Current Claim Expenditure</t>
  </si>
  <si>
    <t>Tax Clearance confirmed as at</t>
  </si>
  <si>
    <t>Payment Completed</t>
  </si>
  <si>
    <t>Subject:</t>
  </si>
  <si>
    <t>Bank Details confirmed as at</t>
  </si>
  <si>
    <t>CURRENT CLAIM</t>
  </si>
  <si>
    <t>Claims History</t>
  </si>
  <si>
    <t>Total Claims Summary</t>
  </si>
  <si>
    <t>Total Balance Remaining</t>
  </si>
  <si>
    <t>IDA Ireland</t>
  </si>
  <si>
    <t>Payment Authorisation / Inspection Report</t>
  </si>
  <si>
    <t>From:</t>
  </si>
  <si>
    <t>Date:</t>
  </si>
  <si>
    <t>Grantee:</t>
  </si>
  <si>
    <t>Project No:</t>
  </si>
  <si>
    <t>Project Commencement Date:</t>
  </si>
  <si>
    <t>Project Completion Date:</t>
  </si>
  <si>
    <t xml:space="preserve">Claim No. </t>
  </si>
  <si>
    <t>Claim Date:</t>
  </si>
  <si>
    <t>Details:</t>
  </si>
  <si>
    <t>Approval Date:</t>
  </si>
  <si>
    <t>Period of Claim From:</t>
  </si>
  <si>
    <r>
      <rPr>
        <b/>
        <sz val="11"/>
        <color theme="1"/>
        <rFont val="Calibri"/>
        <family val="2"/>
        <scheme val="minor"/>
      </rPr>
      <t>Is there retrospective expenditure:</t>
    </r>
    <r>
      <rPr>
        <sz val="11"/>
        <color theme="1"/>
        <rFont val="Calibri"/>
        <family val="2"/>
        <scheme val="minor"/>
      </rPr>
      <t xml:space="preserve">  No  </t>
    </r>
  </si>
  <si>
    <t>Validation of Inspection Process</t>
  </si>
  <si>
    <t xml:space="preserve">Name of Company : </t>
  </si>
  <si>
    <t>Grant Type :</t>
  </si>
  <si>
    <t>Project Number :</t>
  </si>
  <si>
    <t>Sample Selection Criteria :</t>
  </si>
  <si>
    <r>
      <t xml:space="preserve">In carrying out the inspection I reviewed evidence </t>
    </r>
    <r>
      <rPr>
        <u/>
        <sz val="12"/>
        <color theme="1"/>
        <rFont val="Calibri"/>
        <family val="2"/>
        <scheme val="minor"/>
      </rPr>
      <t>in respect of the selected sample</t>
    </r>
    <r>
      <rPr>
        <sz val="12"/>
        <color theme="1"/>
        <rFont val="Calibri"/>
        <family val="2"/>
        <scheme val="minor"/>
      </rPr>
      <t xml:space="preserve"> of the following:</t>
    </r>
  </si>
  <si>
    <t>Payroll Expenditure:</t>
  </si>
  <si>
    <t>Examined employment contracts establishing identity, employment status and role of employee</t>
  </si>
  <si>
    <t xml:space="preserve">Reviewed time records for employees not working full-time on the project </t>
  </si>
  <si>
    <t xml:space="preserve">Checked that time records/reports from Time Management Systems were appriopriately approved </t>
  </si>
  <si>
    <t>Traced Salaries &amp; Wages to payroll records (HR record and financial Payroll records, including payslips) and to bank statements</t>
  </si>
  <si>
    <t xml:space="preserve">Checked pay costs were incurred after start date of the project </t>
  </si>
  <si>
    <t xml:space="preserve">Assessed whether source documents indicate that expenditure falls within approved categories as set out in the Letter of Offer </t>
  </si>
  <si>
    <t>Non Payroll Expenditure:</t>
  </si>
  <si>
    <t xml:space="preserve">Traced payments to source third party invoices or other appropriate source documents and to bank records evidencing payment </t>
  </si>
  <si>
    <t xml:space="preserve">Checked expenditure was incurred after start date of the project </t>
  </si>
  <si>
    <t xml:space="preserve">Identified building/Plant &amp; Machinery </t>
  </si>
  <si>
    <t>Obtained a Technical Assessor's Report (where necessary)</t>
  </si>
  <si>
    <t xml:space="preserve">Obtained evidence that a satisfactory tendering process was carried out </t>
  </si>
  <si>
    <t xml:space="preserve">Obtained documentary evidence that all contractors/subcontractors were tax compliant </t>
  </si>
  <si>
    <t xml:space="preserve">I confirm that there were no matters arising during the inspection process and all information was provided during the </t>
  </si>
  <si>
    <t>inspection or has been provided to me subsequently, except when indicated in the comments below.</t>
  </si>
  <si>
    <t xml:space="preserve">I recommend payment as per the recommendation on page 2. </t>
  </si>
  <si>
    <t xml:space="preserve">Date : </t>
  </si>
  <si>
    <t>I confirm that I have reviewed this Inspection Report and I agree that the payment as recommended is in order.</t>
  </si>
  <si>
    <t>Reviewed :</t>
  </si>
  <si>
    <t xml:space="preserve">Comments : </t>
  </si>
  <si>
    <t>Adjustment + or -</t>
  </si>
  <si>
    <t>Proposed Expenditure</t>
  </si>
  <si>
    <t>Start Date</t>
  </si>
  <si>
    <t>End Date</t>
  </si>
  <si>
    <t>Claim Amount</t>
  </si>
  <si>
    <t>Grant Amount Approved        (Payable)</t>
  </si>
  <si>
    <t>Grant Type</t>
  </si>
  <si>
    <t>NITN/E</t>
  </si>
  <si>
    <t>To:</t>
  </si>
  <si>
    <t xml:space="preserve">Mary Shiel </t>
  </si>
  <si>
    <t>Land &amp; Buildings</t>
  </si>
  <si>
    <t>Plant &amp; Machinery</t>
  </si>
  <si>
    <t>To :</t>
  </si>
  <si>
    <t>Recommendation</t>
  </si>
  <si>
    <t>Total Expenditure Previously Claimed</t>
  </si>
  <si>
    <t xml:space="preserve">Total Certified by Auditors          Claim </t>
  </si>
  <si>
    <t xml:space="preserve">Total Expenditure Previously Cleared </t>
  </si>
  <si>
    <t xml:space="preserve">Expenditure now being cleared                    Claim </t>
  </si>
  <si>
    <t>Total Expenditure Cleared to date</t>
  </si>
  <si>
    <t>Machinery / Equipment</t>
  </si>
  <si>
    <t>Buildings</t>
  </si>
  <si>
    <t xml:space="preserve">Comments </t>
  </si>
  <si>
    <t>being the lesser amount of € 150,000 and grant of</t>
  </si>
  <si>
    <t>Materials</t>
  </si>
  <si>
    <t>Project Start Date</t>
  </si>
  <si>
    <t>Project End Date</t>
  </si>
  <si>
    <t>Signed By :</t>
  </si>
  <si>
    <t>IDA Ireland Inspection Agenda</t>
  </si>
  <si>
    <t>Client:</t>
  </si>
  <si>
    <t>Location:</t>
  </si>
  <si>
    <t>Project Number(s):</t>
  </si>
  <si>
    <t xml:space="preserve">Claim Number:   </t>
  </si>
  <si>
    <t xml:space="preserve">Claim Received </t>
  </si>
  <si>
    <t>Date Inspection</t>
  </si>
  <si>
    <t>Initial meeting/discussion</t>
  </si>
  <si>
    <t>Examination of Invoices documentation and bank records</t>
  </si>
  <si>
    <t>Wrap up discussion</t>
  </si>
  <si>
    <t>Document/Physical asset inspection requirements:</t>
  </si>
  <si>
    <t>Revenue Expenditure:</t>
  </si>
  <si>
    <t>Salaries</t>
  </si>
  <si>
    <t>Fees</t>
  </si>
  <si>
    <t>Machinery</t>
  </si>
  <si>
    <r>
      <t>Timetable</t>
    </r>
    <r>
      <rPr>
        <sz val="12"/>
        <color theme="1"/>
        <rFont val="Calibri"/>
        <family val="2"/>
      </rPr>
      <t>:</t>
    </r>
  </si>
  <si>
    <r>
      <t>Travel</t>
    </r>
    <r>
      <rPr>
        <sz val="12"/>
        <color theme="1"/>
        <rFont val="Calibri"/>
        <family val="2"/>
      </rPr>
      <t xml:space="preserve"> </t>
    </r>
  </si>
  <si>
    <r>
      <t>Capital Expenditure</t>
    </r>
    <r>
      <rPr>
        <sz val="12"/>
        <color theme="1"/>
        <rFont val="Calibri"/>
        <family val="2"/>
      </rPr>
      <t xml:space="preserve"> </t>
    </r>
  </si>
  <si>
    <r>
      <t>Buildings</t>
    </r>
    <r>
      <rPr>
        <sz val="12"/>
        <color theme="1"/>
        <rFont val="Calibri"/>
        <family val="2"/>
      </rPr>
      <t xml:space="preserve"> </t>
    </r>
  </si>
  <si>
    <t>Síle Murray</t>
  </si>
  <si>
    <t>Síle,</t>
  </si>
  <si>
    <t>With thanks</t>
  </si>
  <si>
    <t>___________________________</t>
  </si>
  <si>
    <t>Grant Administration</t>
  </si>
  <si>
    <t>Subject</t>
  </si>
  <si>
    <t>Memo</t>
  </si>
  <si>
    <t>purposes.</t>
  </si>
  <si>
    <t>I would be grateful if you could confirm that the attached lease is in order for grant payment</t>
  </si>
  <si>
    <t xml:space="preserve">I attach the Constitution for the above company, which was approved a Training Grant by the </t>
  </si>
  <si>
    <t>I would be grateful if you confirm that the company is properly incorporated and is acting</t>
  </si>
  <si>
    <t xml:space="preserve"> within its powers in entering into and carrying on the grant aided undertaking. </t>
  </si>
  <si>
    <t>Regards</t>
  </si>
  <si>
    <t>Travel &amp; Subsistence</t>
  </si>
  <si>
    <t>15:00 - 15:30</t>
  </si>
  <si>
    <t>Invoices, bank records for Materials expenses</t>
  </si>
  <si>
    <t>N/A</t>
  </si>
  <si>
    <t>Invoices, bank records for technical advisor fees</t>
  </si>
  <si>
    <t xml:space="preserve">Timesheets where applicable, Payslips for May 2018 and August 2018 for </t>
  </si>
  <si>
    <t xml:space="preserve">Shane Callinan and Peter Marshall, Payroll report and bank records for the </t>
  </si>
  <si>
    <t>same months</t>
  </si>
  <si>
    <t>THREE PARK PLACE</t>
  </si>
  <si>
    <t>HATCH STREET UPPER</t>
  </si>
  <si>
    <t>DUBLIN 2 IRELAND</t>
  </si>
  <si>
    <t>Tel (01) 603 4000</t>
  </si>
  <si>
    <t>Website www.idaireland.com</t>
  </si>
  <si>
    <t>AGENCY OF IRELAND</t>
  </si>
  <si>
    <t>INDUSTRIAL DEVELOPMENT</t>
  </si>
  <si>
    <t>Memo: Early Warning Clearance</t>
  </si>
  <si>
    <t>Earl</t>
  </si>
  <si>
    <t>Holmes</t>
  </si>
  <si>
    <t>Grant Payments Administrator:</t>
  </si>
  <si>
    <t xml:space="preserve">A) It is in order for Grant Payments to proceed with the claim on hand as: </t>
  </si>
  <si>
    <t>Date of Early Warning   (if applicable)</t>
  </si>
  <si>
    <t>B) Please withold payment until further notice</t>
  </si>
  <si>
    <t xml:space="preserve">Project Executive </t>
  </si>
  <si>
    <t xml:space="preserve">Department Manager </t>
  </si>
  <si>
    <t xml:space="preserve">Level </t>
  </si>
  <si>
    <t>Level F</t>
  </si>
  <si>
    <t>Date Approved:</t>
  </si>
  <si>
    <t>Instructions on how to use template: 
1. Select Grant Type in cell D4. 
2. Unhide all rows
3.Hide all rows highlighted in yellow.
4. Proceed to fill in white cells as appropriate.</t>
  </si>
  <si>
    <t>Name of Project:</t>
  </si>
  <si>
    <t>Grant Type [Select]</t>
  </si>
  <si>
    <t>Procedural Details</t>
  </si>
  <si>
    <t>In Order Intl.</t>
  </si>
  <si>
    <t xml:space="preserve">Checked Intl. </t>
  </si>
  <si>
    <t>Approved by [Select]:</t>
  </si>
  <si>
    <t>Date of Grant Agreement:</t>
  </si>
  <si>
    <t>Project Duration:</t>
  </si>
  <si>
    <t xml:space="preserve">To: </t>
  </si>
  <si>
    <t>Time Extension to(if applicable):</t>
  </si>
  <si>
    <t>DP Note No.:</t>
  </si>
  <si>
    <t>Evidence of Title:</t>
  </si>
  <si>
    <t>Memorandum of Articles:</t>
  </si>
  <si>
    <t>Tax Clearance</t>
  </si>
  <si>
    <t>Date verified on:</t>
  </si>
  <si>
    <t>Signed:</t>
  </si>
  <si>
    <t>Bank Details</t>
  </si>
  <si>
    <t>Claim 1</t>
  </si>
  <si>
    <t>Claim 2</t>
  </si>
  <si>
    <t>Claim 3</t>
  </si>
  <si>
    <t>Claim 4</t>
  </si>
  <si>
    <t>OK From:</t>
  </si>
  <si>
    <t>Special Conditions of Grant</t>
  </si>
  <si>
    <t>Other:</t>
  </si>
  <si>
    <t>Base Yr</t>
  </si>
  <si>
    <t>Yr 1</t>
  </si>
  <si>
    <t>Yr 2</t>
  </si>
  <si>
    <t>Yr 3</t>
  </si>
  <si>
    <t>Yr 4</t>
  </si>
  <si>
    <t>Yr 5</t>
  </si>
  <si>
    <t>Yr 6</t>
  </si>
  <si>
    <t>Yr 7</t>
  </si>
  <si>
    <t>Projected:</t>
  </si>
  <si>
    <t>Cum. Grant:</t>
  </si>
  <si>
    <t>Cum. Perf:</t>
  </si>
  <si>
    <t>Audited A/Cs</t>
  </si>
  <si>
    <t>Period:</t>
  </si>
  <si>
    <t>Follow Up Procedures (Undertakings etc.)</t>
  </si>
  <si>
    <t>Company to provide AAA within 9 months from the end of the relevant financial year.</t>
  </si>
  <si>
    <t>Grant Termination Period:</t>
  </si>
  <si>
    <t>5 yrs from date of last payment.</t>
  </si>
  <si>
    <t>Total</t>
  </si>
  <si>
    <t>Disallowed</t>
  </si>
  <si>
    <t>Grant Instalment</t>
  </si>
  <si>
    <t>Total Now Paid</t>
  </si>
  <si>
    <t>Signed</t>
  </si>
  <si>
    <t xml:space="preserve">Date </t>
  </si>
  <si>
    <t>External Supplier Course Costs</t>
  </si>
  <si>
    <t>Grant Total cell A5, claim Total cell A6</t>
  </si>
  <si>
    <t>TO BE COUNTERSIGNED BY GRADE HIGHER</t>
  </si>
  <si>
    <t>TO BE COUNTERSIGNED BY GRADE 2</t>
  </si>
  <si>
    <t>BOARD/COMMITTEE APPROVAL REQUIRED</t>
  </si>
  <si>
    <t>COUNTERSIGNED BY GRADE 1</t>
  </si>
  <si>
    <t>Notes</t>
  </si>
  <si>
    <t>Project Executive (PE)</t>
  </si>
  <si>
    <t>Claim Validator</t>
  </si>
  <si>
    <t>Validator</t>
  </si>
  <si>
    <t xml:space="preserve">Dated (D) / Received (R) </t>
  </si>
  <si>
    <t>Approval:   MIC / Board / Govt. / DP Note</t>
  </si>
  <si>
    <t>General Declaration Form                    (R)</t>
  </si>
  <si>
    <t>Independent Accountant's Report      (D)</t>
  </si>
  <si>
    <t>AAA - Year End                                      (D)</t>
  </si>
  <si>
    <t>Director's Statement of Claim              (R)</t>
  </si>
  <si>
    <t>Special Conditions Memo out to P.E.</t>
  </si>
  <si>
    <t>Special Conditions Memo in from P.E.</t>
  </si>
  <si>
    <t>Solicitor's Confirmation of Title           (D)</t>
  </si>
  <si>
    <t>Solicitor's Confirmation of Incor          (R)</t>
  </si>
  <si>
    <t>Insurance                    Next Renewal Date</t>
  </si>
  <si>
    <t>Name:</t>
  </si>
  <si>
    <t>Division/Level:</t>
  </si>
  <si>
    <t>Date approved:</t>
  </si>
  <si>
    <t>Training Grant</t>
  </si>
  <si>
    <t>EWSS Recipient at date of Claim?</t>
  </si>
  <si>
    <t>Check email address</t>
  </si>
  <si>
    <t>Remaining Claim Value</t>
  </si>
  <si>
    <t>Signed Payment Report Returned      (D)</t>
  </si>
  <si>
    <t>Remit Email from Payments Team     (D)</t>
  </si>
  <si>
    <t>EWSS Recipient</t>
  </si>
  <si>
    <t>Additional Comments:</t>
  </si>
  <si>
    <t>I conducted a virtual validation of the claim and was able to fully access</t>
  </si>
  <si>
    <t xml:space="preserve">all of the information required and confirm placement and working order </t>
  </si>
  <si>
    <t>of assets.  No follow up visit is required and I therefore recommend</t>
  </si>
  <si>
    <t>full payment in the amount noted on page 2 of this report.</t>
  </si>
  <si>
    <t>Discussion/presentation by project manager/team</t>
  </si>
  <si>
    <t>Trainee Personnel Costs</t>
  </si>
  <si>
    <t>Internal Trainer Personnel Costs</t>
  </si>
  <si>
    <t>Training Advisory Service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</si>
</sst>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quot;€&quot;#,##0;[Red]\-&quot;€&quot;#,##0"/>
    <numFmt numFmtId="165" formatCode="&quot;€&quot;#,##0"/>
    <numFmt numFmtId="166" formatCode="dd\-mmm\-yyyy"/>
    <numFmt numFmtId="167" formatCode="mmmm\ yyyy"/>
    <numFmt numFmtId="168" formatCode="###,###"/>
    <numFmt numFmtId="169" formatCode="[$€-2]\ #,##0;[Red]\-[$€-2]\ #,##0"/>
    <numFmt numFmtId="170" formatCode="0;\-0;;@\ "/>
    <numFmt numFmtId="171" formatCode="_-[$€-1809]* #,##0_-;\-[$€-1809]* #,##0_-;_-[$€-1809]* &quot;-&quot;_-;_-@_-"/>
    <numFmt numFmtId="172" formatCode="#&quot;&quot;"/>
    <numFmt numFmtId="173" formatCode="dd\ mmm\ yyyy"/>
    <numFmt numFmtId="174" formatCode="_-[$€-83C]* #,##0_-;\-[$€-83C]* #,##0_-;_-[$€-83C]* &quot;-&quot;_-;_-@_-"/>
    <numFmt numFmtId="175" formatCode="#,##0_ ;[Red]\-#,##0\ "/>
    <numFmt numFmtId="176" formatCode="[$-1809]dd\ mmmm\ yyyy;@"/>
    <numFmt numFmtId="177" formatCode="&quot;€&quot;#,##0.00"/>
    <numFmt numFmtId="178" formatCode="dd/mm/yy;@"/>
  </numFmts>
  <fonts count="62">
    <font>
      <sz val="11"/>
      <color theme="1"/>
      <name val="Calibri"/>
      <family val="2"/>
      <scheme val="minor"/>
    </font>
    <font>
      <b/>
      <sz val="11"/>
      <color theme="1"/>
      <name val="Calibri"/>
      <family val="2"/>
      <scheme val="minor"/>
    </font>
    <font>
      <sz val="10"/>
      <name val="Times New Roman"/>
      <family val="1"/>
    </font>
    <font>
      <sz val="10"/>
      <color theme="1"/>
      <name val="Calibri"/>
      <family val="2"/>
      <scheme val="minor"/>
    </font>
    <font>
      <sz val="14"/>
      <color theme="1"/>
      <name val="Calibri"/>
      <family val="2"/>
      <scheme val="minor"/>
    </font>
    <font>
      <sz val="11"/>
      <color theme="0"/>
      <name val="Calibri"/>
      <family val="2"/>
      <scheme val="minor"/>
    </font>
    <font>
      <sz val="11"/>
      <color theme="1"/>
      <name val="Arial"/>
      <family val="2"/>
    </font>
    <font>
      <b/>
      <sz val="11"/>
      <color theme="1"/>
      <name val="Arial"/>
      <family val="2"/>
    </font>
    <font>
      <sz val="12"/>
      <color theme="1"/>
      <name val="Calibri"/>
      <family val="2"/>
      <scheme val="minor"/>
    </font>
    <font>
      <b/>
      <sz val="12"/>
      <color theme="1"/>
      <name val="Calibri"/>
      <family val="2"/>
      <scheme val="minor"/>
    </font>
    <font>
      <sz val="12"/>
      <color rgb="FFFBDE2D"/>
      <name val="Inherit"/>
    </font>
    <font>
      <b/>
      <sz val="11"/>
      <color theme="0"/>
      <name val="Calibri"/>
      <family val="2"/>
      <scheme val="minor"/>
    </font>
    <font>
      <b/>
      <sz val="16"/>
      <color theme="1"/>
      <name val="Calibri"/>
      <family val="2"/>
    </font>
    <font>
      <b/>
      <sz val="14"/>
      <color theme="1"/>
      <name val="Calibri"/>
      <family val="2"/>
    </font>
    <font>
      <sz val="10"/>
      <color theme="1"/>
      <name val="Calibri"/>
      <family val="2"/>
    </font>
    <font>
      <sz val="12"/>
      <color theme="1"/>
      <name val="Calibri"/>
      <family val="2"/>
    </font>
    <font>
      <u/>
      <sz val="11"/>
      <color theme="10"/>
      <name val="Calibri"/>
      <family val="2"/>
      <scheme val="minor"/>
    </font>
    <font>
      <b/>
      <u/>
      <sz val="24"/>
      <color theme="1"/>
      <name val="Calibri"/>
      <family val="2"/>
      <scheme val="minor"/>
    </font>
    <font>
      <b/>
      <u/>
      <sz val="11"/>
      <color theme="1"/>
      <name val="Calibri"/>
      <family val="2"/>
      <scheme val="minor"/>
    </font>
    <font>
      <b/>
      <sz val="14"/>
      <color theme="1"/>
      <name val="Calibri"/>
      <family val="2"/>
      <scheme val="minor"/>
    </font>
    <font>
      <sz val="11"/>
      <color theme="1"/>
      <name val="Calibri"/>
      <family val="2"/>
    </font>
    <font>
      <b/>
      <sz val="8"/>
      <color theme="1"/>
      <name val="Calibri"/>
      <family val="2"/>
    </font>
    <font>
      <sz val="6"/>
      <color theme="1"/>
      <name val="Calibri"/>
      <family val="2"/>
    </font>
    <font>
      <b/>
      <sz val="16"/>
      <color theme="0"/>
      <name val="Calibri"/>
      <family val="2"/>
      <scheme val="minor"/>
    </font>
    <font>
      <sz val="38"/>
      <color theme="1"/>
      <name val="Symbol"/>
      <family val="1"/>
      <charset val="2"/>
    </font>
    <font>
      <sz val="13"/>
      <color theme="1"/>
      <name val="Calibri"/>
      <family val="2"/>
      <scheme val="minor"/>
    </font>
    <font>
      <b/>
      <sz val="13"/>
      <color theme="1"/>
      <name val="Calibri"/>
      <family val="2"/>
    </font>
    <font>
      <sz val="13"/>
      <color theme="1"/>
      <name val="Calibri"/>
      <family val="2"/>
    </font>
    <font>
      <b/>
      <sz val="13"/>
      <color theme="1"/>
      <name val="Calibri"/>
      <family val="2"/>
      <scheme val="minor"/>
    </font>
    <font>
      <sz val="14"/>
      <color rgb="FFFF0000"/>
      <name val="Calibri"/>
      <family val="2"/>
      <scheme val="minor"/>
    </font>
    <font>
      <b/>
      <u/>
      <sz val="14"/>
      <color theme="1"/>
      <name val="Calibri"/>
      <family val="2"/>
      <scheme val="minor"/>
    </font>
    <font>
      <b/>
      <u/>
      <sz val="14"/>
      <color theme="1"/>
      <name val="Arial"/>
      <family val="2"/>
    </font>
    <font>
      <b/>
      <sz val="18"/>
      <color rgb="FFFF0000"/>
      <name val="Calibri"/>
      <family val="2"/>
      <scheme val="minor"/>
    </font>
    <font>
      <b/>
      <sz val="14"/>
      <color theme="1"/>
      <name val="Arial"/>
      <family val="2"/>
    </font>
    <font>
      <b/>
      <u/>
      <sz val="13"/>
      <color theme="1"/>
      <name val="Calibri"/>
      <family val="2"/>
    </font>
    <font>
      <sz val="11"/>
      <color rgb="FFFF0000"/>
      <name val="Calibri"/>
      <family val="2"/>
      <scheme val="minor"/>
    </font>
    <font>
      <b/>
      <sz val="11"/>
      <color rgb="FFFF0000"/>
      <name val="Calibri"/>
      <family val="2"/>
      <scheme val="minor"/>
    </font>
    <font>
      <b/>
      <sz val="11"/>
      <name val="Calibri"/>
      <family val="2"/>
      <scheme val="minor"/>
    </font>
    <font>
      <b/>
      <sz val="16"/>
      <color theme="1"/>
      <name val="Calibri"/>
      <family val="2"/>
      <scheme val="minor"/>
    </font>
    <font>
      <sz val="11"/>
      <name val="Calibri"/>
      <family val="2"/>
      <scheme val="minor"/>
    </font>
    <font>
      <b/>
      <u/>
      <sz val="12"/>
      <color theme="1"/>
      <name val="Calibri"/>
      <family val="2"/>
      <scheme val="minor"/>
    </font>
    <font>
      <u/>
      <sz val="12"/>
      <color theme="1"/>
      <name val="Calibri"/>
      <family val="2"/>
      <scheme val="minor"/>
    </font>
    <font>
      <sz val="10"/>
      <color theme="1"/>
      <name val="Symbol"/>
      <family val="1"/>
      <charset val="2"/>
    </font>
    <font>
      <i/>
      <sz val="11"/>
      <name val="Calibri"/>
      <family val="2"/>
      <scheme val="minor"/>
    </font>
    <font>
      <b/>
      <sz val="14"/>
      <name val="Calibri"/>
      <family val="2"/>
      <scheme val="minor"/>
    </font>
    <font>
      <b/>
      <u/>
      <sz val="12"/>
      <color theme="1"/>
      <name val="Calibri"/>
      <family val="2"/>
    </font>
    <font>
      <b/>
      <sz val="12"/>
      <color theme="1"/>
      <name val="Calibri"/>
      <family val="2"/>
    </font>
    <font>
      <i/>
      <sz val="12"/>
      <color theme="1"/>
      <name val="Calibri"/>
      <family val="2"/>
    </font>
    <font>
      <b/>
      <sz val="16"/>
      <color theme="1"/>
      <name val="Arial"/>
      <family val="2"/>
    </font>
    <font>
      <b/>
      <sz val="10"/>
      <color theme="1"/>
      <name val="Calibri"/>
      <family val="2"/>
    </font>
    <font>
      <sz val="8"/>
      <color theme="1"/>
      <name val="Arial Narrow"/>
      <family val="2"/>
    </font>
    <font>
      <b/>
      <sz val="10"/>
      <color theme="1"/>
      <name val="Calibri"/>
      <family val="2"/>
      <scheme val="minor"/>
    </font>
    <font>
      <b/>
      <sz val="11"/>
      <color rgb="FFFF0000"/>
      <name val="Arial"/>
      <family val="2"/>
    </font>
    <font>
      <sz val="9"/>
      <color theme="1"/>
      <name val="Calibri"/>
      <family val="2"/>
      <scheme val="minor"/>
    </font>
    <font>
      <b/>
      <sz val="9"/>
      <color theme="1"/>
      <name val="Calibri"/>
      <family val="2"/>
      <scheme val="minor"/>
    </font>
    <font>
      <sz val="11"/>
      <color rgb="FF333333"/>
      <name val="Arial"/>
      <family val="2"/>
    </font>
    <font>
      <u/>
      <sz val="11"/>
      <color theme="1"/>
      <name val="Calibri"/>
      <family val="2"/>
      <scheme val="minor"/>
    </font>
    <font>
      <sz val="12"/>
      <color rgb="FFFF0000"/>
      <name val="Calibri"/>
      <family val="2"/>
      <scheme val="minor"/>
    </font>
    <font>
      <b/>
      <sz val="14"/>
      <color rgb="FFFF0000"/>
      <name val="Calibri"/>
      <family val="2"/>
      <scheme val="minor"/>
    </font>
    <font>
      <sz val="14"/>
      <color theme="1"/>
      <name val="Calibri"/>
      <family val="2"/>
    </font>
    <font>
      <b/>
      <sz val="14"/>
      <color rgb="FFFF0000"/>
      <name val="Calibri"/>
      <family val="2"/>
    </font>
    <font>
      <b/>
      <strike/>
      <sz val="11"/>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A5A5A5"/>
      </patternFill>
    </fill>
    <fill>
      <patternFill patternType="solid">
        <fgColor rgb="FFE0E0E0"/>
        <bgColor indexed="64"/>
      </patternFill>
    </fill>
    <fill>
      <patternFill patternType="solid">
        <fgColor rgb="FFC0C0C0"/>
        <bgColor indexed="64"/>
      </patternFill>
    </fill>
    <fill>
      <patternFill patternType="mediumGray">
        <fgColor rgb="FFC0C0C0"/>
        <bgColor rgb="FFE2E2E2"/>
      </patternFill>
    </fill>
    <fill>
      <patternFill patternType="solid">
        <fgColor theme="0" tint="-0.14999847407452621"/>
        <bgColor indexed="64"/>
      </patternFill>
    </fill>
    <fill>
      <patternFill patternType="solid">
        <fgColor rgb="FFFFFF99"/>
        <bgColor indexed="64"/>
      </patternFill>
    </fill>
    <fill>
      <patternFill patternType="solid">
        <fgColor rgb="FF66FFFF"/>
        <bgColor indexed="64"/>
      </patternFill>
    </fill>
    <fill>
      <patternFill patternType="solid">
        <fgColor theme="4" tint="0.79998168889431442"/>
        <bgColor indexed="64"/>
      </patternFill>
    </fill>
    <fill>
      <patternFill patternType="solid">
        <fgColor rgb="FFFF66FF"/>
        <bgColor indexed="64"/>
      </patternFill>
    </fill>
    <fill>
      <patternFill patternType="solid">
        <fgColor rgb="FFFFFF00"/>
        <bgColor indexed="64"/>
      </patternFill>
    </fill>
    <fill>
      <patternFill patternType="darkUp">
        <bgColor theme="1"/>
      </patternFill>
    </fill>
    <fill>
      <patternFill patternType="solid">
        <fgColor theme="0" tint="-0.14996795556505021"/>
        <bgColor indexed="64"/>
      </patternFill>
    </fill>
    <fill>
      <patternFill patternType="solid">
        <fgColor theme="0"/>
        <bgColor theme="0"/>
      </patternFill>
    </fill>
    <fill>
      <patternFill patternType="solid">
        <fgColor theme="0" tint="-0.14993743705557422"/>
        <bgColor indexed="64"/>
      </patternFill>
    </fill>
    <fill>
      <patternFill patternType="solid">
        <fgColor theme="1"/>
        <bgColor indexed="64"/>
      </patternFill>
    </fill>
    <fill>
      <patternFill patternType="solid">
        <fgColor theme="0" tint="-0.249977111117893"/>
        <bgColor indexed="64"/>
      </patternFill>
    </fill>
    <fill>
      <patternFill patternType="solid">
        <fgColor rgb="FFFF0000"/>
        <bgColor indexed="64"/>
      </patternFill>
    </fill>
  </fills>
  <borders count="138">
    <border>
      <left/>
      <right/>
      <top/>
      <bottom/>
      <diagonal/>
    </border>
    <border>
      <left/>
      <right/>
      <top/>
      <bottom style="thin">
        <color indexed="64"/>
      </bottom>
      <diagonal/>
    </border>
    <border>
      <left/>
      <right/>
      <top style="thick">
        <color auto="1"/>
      </top>
      <bottom/>
      <diagonal/>
    </border>
    <border>
      <left/>
      <right/>
      <top style="thick">
        <color auto="1"/>
      </top>
      <bottom style="thin">
        <color indexed="64"/>
      </bottom>
      <diagonal/>
    </border>
    <border>
      <left/>
      <right/>
      <top/>
      <bottom style="medium">
        <color indexed="64"/>
      </bottom>
      <diagonal/>
    </border>
    <border>
      <left style="double">
        <color rgb="FF3F3F3F"/>
      </left>
      <right style="double">
        <color rgb="FF3F3F3F"/>
      </right>
      <top style="double">
        <color rgb="FF3F3F3F"/>
      </top>
      <bottom style="double">
        <color rgb="FF3F3F3F"/>
      </bottom>
      <diagonal/>
    </border>
    <border>
      <left style="medium">
        <color indexed="64"/>
      </left>
      <right/>
      <top/>
      <bottom/>
      <diagonal/>
    </border>
    <border>
      <left/>
      <right/>
      <top style="medium">
        <color rgb="FF808080"/>
      </top>
      <bottom style="medium">
        <color rgb="FFFFFFFF"/>
      </bottom>
      <diagonal/>
    </border>
    <border>
      <left style="medium">
        <color rgb="FFFFFFFF"/>
      </left>
      <right style="medium">
        <color rgb="FFFFFFFF"/>
      </right>
      <top style="medium">
        <color rgb="FF808080"/>
      </top>
      <bottom style="medium">
        <color rgb="FFFFFFFF"/>
      </bottom>
      <diagonal/>
    </border>
    <border>
      <left/>
      <right style="medium">
        <color rgb="FFFFFFFF"/>
      </right>
      <top style="medium">
        <color rgb="FF808080"/>
      </top>
      <bottom style="medium">
        <color rgb="FFFFFFFF"/>
      </bottom>
      <diagonal/>
    </border>
    <border>
      <left/>
      <right/>
      <top/>
      <bottom style="medium">
        <color rgb="FF808080"/>
      </bottom>
      <diagonal/>
    </border>
    <border>
      <left/>
      <right/>
      <top/>
      <bottom style="medium">
        <color rgb="FFFFFFF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ck">
        <color auto="1"/>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top/>
      <bottom style="thin">
        <color theme="0"/>
      </bottom>
      <diagonal/>
    </border>
    <border>
      <left/>
      <right/>
      <top style="medium">
        <color rgb="FF808080"/>
      </top>
      <bottom/>
      <diagonal/>
    </border>
    <border>
      <left/>
      <right/>
      <top style="thin">
        <color theme="0"/>
      </top>
      <bottom/>
      <diagonal/>
    </border>
    <border>
      <left/>
      <right/>
      <top style="medium">
        <color theme="0"/>
      </top>
      <bottom style="medium">
        <color rgb="FF808080"/>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diagonal/>
    </border>
    <border>
      <left style="dotted">
        <color indexed="64"/>
      </left>
      <right style="dotted">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diagonal/>
    </border>
    <border>
      <left style="thin">
        <color indexed="64"/>
      </left>
      <right/>
      <top style="medium">
        <color indexed="64"/>
      </top>
      <bottom style="medium">
        <color indexed="64"/>
      </bottom>
      <diagonal/>
    </border>
    <border>
      <left style="dotted">
        <color indexed="64"/>
      </left>
      <right/>
      <top style="dotted">
        <color indexed="64"/>
      </top>
      <bottom/>
      <diagonal/>
    </border>
  </borders>
  <cellStyleXfs count="3">
    <xf numFmtId="0" fontId="0" fillId="0" borderId="0"/>
    <xf numFmtId="0" fontId="11" fillId="6" borderId="5" applyNumberFormat="0" applyAlignment="0" applyProtection="0"/>
    <xf numFmtId="0" fontId="16" fillId="0" borderId="0" applyNumberFormat="0" applyFill="0" applyBorder="0" applyAlignment="0" applyProtection="0"/>
  </cellStyleXfs>
  <cellXfs count="762">
    <xf numFmtId="0" fontId="0" fillId="0" borderId="0" xfId="0"/>
    <xf numFmtId="15" fontId="0" fillId="0" borderId="0" xfId="0" applyNumberFormat="1"/>
    <xf numFmtId="0" fontId="1" fillId="0" borderId="0" xfId="0" applyFont="1"/>
    <xf numFmtId="3" fontId="0" fillId="0" borderId="0" xfId="0" applyNumberFormat="1" applyAlignment="1"/>
    <xf numFmtId="3" fontId="0" fillId="0" borderId="0" xfId="0" applyNumberFormat="1"/>
    <xf numFmtId="3" fontId="1" fillId="0" borderId="0" xfId="0" applyNumberFormat="1" applyFont="1"/>
    <xf numFmtId="3" fontId="1" fillId="0" borderId="0" xfId="0" applyNumberFormat="1" applyFont="1" applyAlignment="1"/>
    <xf numFmtId="3" fontId="0" fillId="0" borderId="0" xfId="0" applyNumberFormat="1" applyProtection="1">
      <protection locked="0"/>
    </xf>
    <xf numFmtId="0" fontId="1" fillId="0" borderId="0" xfId="0" applyFont="1" applyProtection="1">
      <protection locked="0"/>
    </xf>
    <xf numFmtId="0" fontId="0" fillId="0" borderId="0" xfId="0" applyProtection="1">
      <protection locked="0"/>
    </xf>
    <xf numFmtId="164" fontId="0" fillId="0" borderId="0" xfId="0" applyNumberFormat="1" applyProtection="1">
      <protection locked="0"/>
    </xf>
    <xf numFmtId="0" fontId="3" fillId="0" borderId="0" xfId="0" applyFont="1" applyProtection="1">
      <protection locked="0"/>
    </xf>
    <xf numFmtId="0" fontId="2" fillId="0" borderId="0" xfId="0" applyFont="1" applyBorder="1" applyProtection="1">
      <protection locked="0"/>
    </xf>
    <xf numFmtId="0" fontId="2" fillId="0" borderId="0" xfId="0" applyFont="1" applyProtection="1">
      <protection locked="0"/>
    </xf>
    <xf numFmtId="3" fontId="1" fillId="0" borderId="0" xfId="0" applyNumberFormat="1" applyFont="1" applyProtection="1">
      <protection locked="0"/>
    </xf>
    <xf numFmtId="3" fontId="0" fillId="0" borderId="0" xfId="0" applyNumberFormat="1" applyAlignment="1" applyProtection="1">
      <protection locked="0"/>
    </xf>
    <xf numFmtId="3" fontId="0" fillId="0" borderId="0" xfId="0" applyNumberFormat="1" applyAlignment="1" applyProtection="1">
      <alignment vertical="top"/>
      <protection locked="0"/>
    </xf>
    <xf numFmtId="166" fontId="0" fillId="0" borderId="0" xfId="0" applyNumberFormat="1" applyProtection="1">
      <protection locked="0"/>
    </xf>
    <xf numFmtId="49" fontId="1" fillId="0" borderId="0" xfId="0" applyNumberFormat="1" applyFont="1"/>
    <xf numFmtId="168" fontId="1" fillId="0" borderId="0" xfId="0" applyNumberFormat="1" applyFont="1"/>
    <xf numFmtId="0" fontId="4" fillId="0" borderId="0" xfId="0" applyFont="1"/>
    <xf numFmtId="0" fontId="5" fillId="0" borderId="0" xfId="0" applyFont="1"/>
    <xf numFmtId="0" fontId="6" fillId="0" borderId="0" xfId="0" applyFont="1"/>
    <xf numFmtId="0" fontId="7" fillId="2" borderId="0" xfId="0" applyFont="1" applyFill="1"/>
    <xf numFmtId="0" fontId="1" fillId="0" borderId="0" xfId="0" applyFont="1" applyAlignment="1">
      <alignment horizontal="center"/>
    </xf>
    <xf numFmtId="0" fontId="8" fillId="0" borderId="0" xfId="0" applyFont="1"/>
    <xf numFmtId="167" fontId="8" fillId="0" borderId="0" xfId="0" applyNumberFormat="1" applyFont="1" applyAlignment="1">
      <alignment horizontal="left"/>
    </xf>
    <xf numFmtId="0" fontId="9" fillId="0" borderId="0" xfId="0" applyFont="1"/>
    <xf numFmtId="3" fontId="8" fillId="0" borderId="0" xfId="0" applyNumberFormat="1" applyFont="1"/>
    <xf numFmtId="0" fontId="10"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5" fillId="8" borderId="7" xfId="0" applyFont="1" applyFill="1" applyBorder="1" applyAlignment="1">
      <alignment vertical="center" wrapText="1"/>
    </xf>
    <xf numFmtId="0" fontId="15" fillId="9" borderId="7" xfId="0" applyFont="1" applyFill="1" applyBorder="1" applyAlignment="1">
      <alignment horizontal="center" vertical="center" wrapText="1"/>
    </xf>
    <xf numFmtId="0" fontId="15" fillId="8" borderId="0" xfId="0" applyFont="1" applyFill="1" applyAlignment="1">
      <alignment vertical="center" wrapText="1"/>
    </xf>
    <xf numFmtId="0" fontId="15" fillId="9" borderId="0" xfId="0" applyFont="1" applyFill="1" applyAlignment="1">
      <alignment horizontal="center" vertical="center" wrapText="1"/>
    </xf>
    <xf numFmtId="0" fontId="16" fillId="9" borderId="0" xfId="2" applyFill="1" applyAlignment="1">
      <alignment horizontal="center" vertical="center" wrapText="1"/>
    </xf>
    <xf numFmtId="49" fontId="15" fillId="9" borderId="0" xfId="0" applyNumberFormat="1" applyFont="1" applyFill="1" applyAlignment="1">
      <alignment horizontal="center" vertical="center" wrapText="1"/>
    </xf>
    <xf numFmtId="0" fontId="15" fillId="0" borderId="8" xfId="0" applyFont="1" applyBorder="1" applyAlignment="1">
      <alignment vertical="center" wrapText="1"/>
    </xf>
    <xf numFmtId="0" fontId="15" fillId="0" borderId="9" xfId="0" applyFont="1" applyBorder="1" applyAlignment="1">
      <alignment horizontal="center" vertical="center" wrapText="1"/>
    </xf>
    <xf numFmtId="0" fontId="15" fillId="8" borderId="10" xfId="0" applyFont="1" applyFill="1" applyBorder="1" applyAlignment="1">
      <alignment vertical="center" wrapText="1"/>
    </xf>
    <xf numFmtId="0" fontId="15" fillId="9" borderId="10" xfId="0" applyFont="1" applyFill="1" applyBorder="1" applyAlignment="1">
      <alignment horizontal="center" vertical="center" wrapText="1"/>
    </xf>
    <xf numFmtId="0" fontId="15" fillId="8" borderId="11" xfId="0" applyFont="1" applyFill="1" applyBorder="1" applyAlignment="1">
      <alignment vertical="center" wrapText="1"/>
    </xf>
    <xf numFmtId="0" fontId="15" fillId="9" borderId="11" xfId="0" applyFont="1" applyFill="1" applyBorder="1" applyAlignment="1">
      <alignment horizontal="center" vertical="center" wrapText="1"/>
    </xf>
    <xf numFmtId="169" fontId="15" fillId="9" borderId="10" xfId="0" applyNumberFormat="1" applyFont="1" applyFill="1" applyBorder="1" applyAlignment="1">
      <alignment horizontal="center" vertical="center" wrapText="1"/>
    </xf>
    <xf numFmtId="0" fontId="17" fillId="0" borderId="0" xfId="0" applyFont="1" applyAlignment="1">
      <alignment horizontal="center"/>
    </xf>
    <xf numFmtId="0" fontId="0" fillId="0" borderId="0" xfId="0" applyAlignment="1">
      <alignment horizontal="center"/>
    </xf>
    <xf numFmtId="0" fontId="1" fillId="0" borderId="0" xfId="0" applyFont="1" applyAlignment="1">
      <alignment horizontal="left"/>
    </xf>
    <xf numFmtId="0" fontId="18" fillId="0" borderId="0" xfId="0" applyFont="1" applyAlignment="1">
      <alignment horizontal="center"/>
    </xf>
    <xf numFmtId="0" fontId="0" fillId="0" borderId="12" xfId="0" applyBorder="1"/>
    <xf numFmtId="0" fontId="0" fillId="0" borderId="13" xfId="0" applyBorder="1"/>
    <xf numFmtId="0" fontId="0" fillId="0" borderId="14" xfId="0" applyBorder="1"/>
    <xf numFmtId="0" fontId="0" fillId="0" borderId="6" xfId="0" applyBorder="1"/>
    <xf numFmtId="165" fontId="1" fillId="0" borderId="0" xfId="0" applyNumberFormat="1" applyFont="1" applyBorder="1"/>
    <xf numFmtId="0" fontId="0" fillId="0" borderId="0" xfId="0" applyBorder="1"/>
    <xf numFmtId="165" fontId="1" fillId="0" borderId="15" xfId="0" applyNumberFormat="1" applyFont="1" applyBorder="1"/>
    <xf numFmtId="0" fontId="0" fillId="0" borderId="16" xfId="0" applyBorder="1"/>
    <xf numFmtId="0" fontId="0" fillId="0" borderId="4" xfId="0" applyBorder="1"/>
    <xf numFmtId="0" fontId="0" fillId="0" borderId="17" xfId="0" applyBorder="1"/>
    <xf numFmtId="0" fontId="1" fillId="0" borderId="0" xfId="0" applyFont="1" applyAlignment="1">
      <alignment horizontal="center" vertical="center" wrapText="1"/>
    </xf>
    <xf numFmtId="0" fontId="0" fillId="0" borderId="21" xfId="0" applyBorder="1"/>
    <xf numFmtId="3" fontId="0" fillId="0" borderId="22" xfId="0" applyNumberFormat="1" applyBorder="1"/>
    <xf numFmtId="3" fontId="0" fillId="0" borderId="23" xfId="0" applyNumberFormat="1" applyBorder="1"/>
    <xf numFmtId="0" fontId="0" fillId="10" borderId="24" xfId="0" applyFill="1" applyBorder="1"/>
    <xf numFmtId="3" fontId="0" fillId="10" borderId="25" xfId="0" applyNumberFormat="1" applyFill="1" applyBorder="1"/>
    <xf numFmtId="3" fontId="0" fillId="10" borderId="26" xfId="0" applyNumberFormat="1" applyFill="1" applyBorder="1"/>
    <xf numFmtId="0" fontId="0" fillId="0" borderId="27" xfId="0" applyBorder="1"/>
    <xf numFmtId="0" fontId="0" fillId="0" borderId="28" xfId="0" applyBorder="1"/>
    <xf numFmtId="0" fontId="0" fillId="0" borderId="29" xfId="0" applyBorder="1"/>
    <xf numFmtId="3" fontId="0" fillId="0" borderId="28" xfId="0" applyNumberFormat="1" applyBorder="1"/>
    <xf numFmtId="170" fontId="15" fillId="9" borderId="7" xfId="0" applyNumberFormat="1" applyFont="1" applyFill="1" applyBorder="1" applyAlignment="1">
      <alignment horizontal="center" vertical="center" wrapText="1"/>
    </xf>
    <xf numFmtId="170" fontId="15" fillId="9" borderId="0" xfId="0" applyNumberFormat="1" applyFont="1" applyFill="1" applyAlignment="1">
      <alignment horizontal="center" vertical="center" wrapText="1"/>
    </xf>
    <xf numFmtId="0" fontId="20" fillId="0" borderId="0" xfId="0" applyFont="1" applyAlignment="1">
      <alignment vertical="center"/>
    </xf>
    <xf numFmtId="49" fontId="1" fillId="0" borderId="0" xfId="0" applyNumberFormat="1" applyFont="1" applyAlignment="1">
      <alignment horizontal="left"/>
    </xf>
    <xf numFmtId="49" fontId="0" fillId="0" borderId="21" xfId="0" applyNumberFormat="1" applyBorder="1"/>
    <xf numFmtId="172" fontId="0" fillId="0" borderId="0" xfId="0" applyNumberFormat="1" applyAlignment="1" applyProtection="1">
      <protection locked="0"/>
    </xf>
    <xf numFmtId="172" fontId="0" fillId="0" borderId="21" xfId="0" applyNumberFormat="1" applyBorder="1"/>
    <xf numFmtId="172" fontId="0" fillId="10" borderId="24" xfId="0" applyNumberFormat="1" applyFill="1" applyBorder="1"/>
    <xf numFmtId="3" fontId="0" fillId="0" borderId="34" xfId="0" applyNumberFormat="1" applyBorder="1"/>
    <xf numFmtId="0" fontId="29" fillId="0" borderId="0" xfId="0" applyFont="1"/>
    <xf numFmtId="0" fontId="7" fillId="13" borderId="35" xfId="0" applyFont="1" applyFill="1" applyBorder="1" applyAlignment="1">
      <alignment horizontal="right"/>
    </xf>
    <xf numFmtId="171" fontId="4" fillId="13" borderId="36" xfId="0" applyNumberFormat="1" applyFont="1" applyFill="1" applyBorder="1"/>
    <xf numFmtId="0" fontId="1" fillId="11" borderId="19" xfId="0" applyFont="1" applyFill="1" applyBorder="1" applyAlignment="1">
      <alignment horizontal="center" vertical="center" wrapText="1"/>
    </xf>
    <xf numFmtId="0" fontId="4" fillId="11" borderId="36" xfId="0" applyFont="1" applyFill="1" applyBorder="1"/>
    <xf numFmtId="1" fontId="19" fillId="12" borderId="14" xfId="0" applyNumberFormat="1" applyFont="1" applyFill="1" applyBorder="1" applyAlignment="1">
      <alignment horizontal="center"/>
    </xf>
    <xf numFmtId="1" fontId="19" fillId="12" borderId="17" xfId="0" applyNumberFormat="1" applyFont="1" applyFill="1" applyBorder="1" applyAlignment="1">
      <alignment horizontal="center"/>
    </xf>
    <xf numFmtId="174" fontId="4" fillId="13" borderId="37" xfId="0" applyNumberFormat="1" applyFont="1" applyFill="1" applyBorder="1"/>
    <xf numFmtId="0" fontId="7" fillId="11" borderId="35" xfId="0" applyFont="1" applyFill="1" applyBorder="1"/>
    <xf numFmtId="0" fontId="19" fillId="11" borderId="36" xfId="0" applyFont="1" applyFill="1" applyBorder="1"/>
    <xf numFmtId="0" fontId="4" fillId="11" borderId="35" xfId="0" applyFont="1" applyFill="1" applyBorder="1"/>
    <xf numFmtId="0" fontId="19" fillId="11" borderId="30" xfId="0" applyFont="1" applyFill="1" applyBorder="1"/>
    <xf numFmtId="0" fontId="0" fillId="11" borderId="30" xfId="0" applyFill="1" applyBorder="1"/>
    <xf numFmtId="0" fontId="0" fillId="11" borderId="36" xfId="0" applyFill="1" applyBorder="1"/>
    <xf numFmtId="0" fontId="1" fillId="11" borderId="18" xfId="0" applyFont="1" applyFill="1" applyBorder="1" applyAlignment="1">
      <alignment horizontal="center" vertical="center" wrapText="1"/>
    </xf>
    <xf numFmtId="0" fontId="1" fillId="11" borderId="20" xfId="0" applyFont="1" applyFill="1" applyBorder="1" applyAlignment="1">
      <alignment horizontal="center" vertical="center" wrapText="1"/>
    </xf>
    <xf numFmtId="174" fontId="4" fillId="12" borderId="38" xfId="0" applyNumberFormat="1" applyFont="1" applyFill="1" applyBorder="1"/>
    <xf numFmtId="174" fontId="4" fillId="12" borderId="39" xfId="0" applyNumberFormat="1" applyFont="1" applyFill="1" applyBorder="1"/>
    <xf numFmtId="174" fontId="4" fillId="12" borderId="40" xfId="0" applyNumberFormat="1" applyFont="1" applyFill="1" applyBorder="1"/>
    <xf numFmtId="174" fontId="4" fillId="12" borderId="21" xfId="0" applyNumberFormat="1" applyFont="1" applyFill="1" applyBorder="1"/>
    <xf numFmtId="0" fontId="7" fillId="12" borderId="41" xfId="0" applyFont="1" applyFill="1" applyBorder="1"/>
    <xf numFmtId="171" fontId="4" fillId="12" borderId="14" xfId="0" applyNumberFormat="1" applyFont="1" applyFill="1" applyBorder="1"/>
    <xf numFmtId="0" fontId="7" fillId="12" borderId="27" xfId="0" applyFont="1" applyFill="1" applyBorder="1"/>
    <xf numFmtId="0" fontId="7" fillId="12" borderId="21" xfId="0" applyFont="1" applyFill="1" applyBorder="1"/>
    <xf numFmtId="171" fontId="4" fillId="12" borderId="15" xfId="0" applyNumberFormat="1" applyFont="1" applyFill="1" applyBorder="1"/>
    <xf numFmtId="171" fontId="4" fillId="12" borderId="17" xfId="0" applyNumberFormat="1" applyFont="1" applyFill="1" applyBorder="1"/>
    <xf numFmtId="14" fontId="4" fillId="12" borderId="15" xfId="0" applyNumberFormat="1" applyFont="1" applyFill="1" applyBorder="1"/>
    <xf numFmtId="49" fontId="4" fillId="12" borderId="17" xfId="0" applyNumberFormat="1" applyFont="1" applyFill="1" applyBorder="1"/>
    <xf numFmtId="174" fontId="4" fillId="12" borderId="41" xfId="0" applyNumberFormat="1" applyFont="1" applyFill="1" applyBorder="1"/>
    <xf numFmtId="0" fontId="19" fillId="12" borderId="14" xfId="0" applyFont="1" applyFill="1" applyBorder="1" applyAlignment="1">
      <alignment horizontal="center"/>
    </xf>
    <xf numFmtId="3" fontId="29" fillId="0" borderId="0" xfId="0" applyNumberFormat="1" applyFont="1"/>
    <xf numFmtId="3" fontId="30" fillId="11" borderId="37" xfId="0" applyNumberFormat="1" applyFont="1" applyFill="1" applyBorder="1" applyAlignment="1">
      <alignment wrapText="1"/>
    </xf>
    <xf numFmtId="3" fontId="32" fillId="0" borderId="0" xfId="0" applyNumberFormat="1" applyFont="1"/>
    <xf numFmtId="0" fontId="33" fillId="11" borderId="35" xfId="0" applyFont="1" applyFill="1" applyBorder="1"/>
    <xf numFmtId="49" fontId="0" fillId="0" borderId="0" xfId="0" applyNumberFormat="1"/>
    <xf numFmtId="1" fontId="0" fillId="0" borderId="0" xfId="0" applyNumberFormat="1" applyProtection="1">
      <protection locked="0"/>
    </xf>
    <xf numFmtId="0" fontId="35" fillId="0" borderId="0" xfId="0" applyFont="1"/>
    <xf numFmtId="0" fontId="36" fillId="0" borderId="0" xfId="0" applyFont="1"/>
    <xf numFmtId="0" fontId="19" fillId="12" borderId="17" xfId="0" applyFont="1" applyFill="1" applyBorder="1"/>
    <xf numFmtId="0" fontId="36" fillId="0" borderId="0" xfId="0" applyFont="1" applyAlignment="1"/>
    <xf numFmtId="0" fontId="36" fillId="0" borderId="0" xfId="0" applyFont="1" applyAlignment="1">
      <alignment horizontal="center"/>
    </xf>
    <xf numFmtId="0" fontId="37" fillId="14" borderId="36" xfId="0" applyFont="1" applyFill="1" applyBorder="1"/>
    <xf numFmtId="10" fontId="1" fillId="0" borderId="0" xfId="0" applyNumberFormat="1" applyFont="1" applyBorder="1" applyAlignment="1">
      <alignment horizontal="center"/>
    </xf>
    <xf numFmtId="165" fontId="1" fillId="0" borderId="0" xfId="0" applyNumberFormat="1" applyFont="1"/>
    <xf numFmtId="49" fontId="36" fillId="0" borderId="0" xfId="0" applyNumberFormat="1" applyFont="1"/>
    <xf numFmtId="0" fontId="1" fillId="0" borderId="0" xfId="0" applyFont="1" applyAlignment="1">
      <alignment horizontal="center"/>
    </xf>
    <xf numFmtId="0" fontId="0" fillId="0" borderId="0" xfId="0" applyAlignment="1">
      <alignment horizontal="center"/>
    </xf>
    <xf numFmtId="0" fontId="19" fillId="0" borderId="0" xfId="0" applyFont="1" applyAlignment="1" applyProtection="1">
      <alignment horizontal="center"/>
      <protection hidden="1"/>
    </xf>
    <xf numFmtId="0" fontId="4" fillId="0" borderId="0" xfId="0" applyFont="1" applyAlignment="1" applyProtection="1">
      <alignment horizontal="center"/>
      <protection hidden="1"/>
    </xf>
    <xf numFmtId="0" fontId="19" fillId="0" borderId="0" xfId="0" applyFont="1" applyAlignment="1">
      <alignment horizontal="left"/>
    </xf>
    <xf numFmtId="0" fontId="19" fillId="0" borderId="0" xfId="0" applyFont="1" applyAlignment="1" applyProtection="1">
      <protection hidden="1"/>
    </xf>
    <xf numFmtId="0" fontId="4" fillId="0" borderId="0" xfId="0" applyFont="1" applyAlignment="1" applyProtection="1">
      <protection hidden="1"/>
    </xf>
    <xf numFmtId="0" fontId="1" fillId="0" borderId="0" xfId="0" applyFont="1" applyAlignment="1"/>
    <xf numFmtId="0" fontId="1" fillId="0" borderId="37" xfId="0" applyFont="1" applyBorder="1" applyAlignment="1">
      <alignment horizontal="center" vertical="center" wrapText="1"/>
    </xf>
    <xf numFmtId="3" fontId="0" fillId="0" borderId="15" xfId="0" applyNumberFormat="1" applyBorder="1"/>
    <xf numFmtId="3" fontId="0" fillId="0" borderId="42" xfId="0" applyNumberFormat="1" applyBorder="1"/>
    <xf numFmtId="3" fontId="0" fillId="10" borderId="44" xfId="0" applyNumberFormat="1" applyFill="1" applyBorder="1"/>
    <xf numFmtId="3" fontId="0" fillId="0" borderId="17" xfId="0" applyNumberFormat="1" applyBorder="1"/>
    <xf numFmtId="0" fontId="1" fillId="0" borderId="35" xfId="0" applyFont="1" applyBorder="1" applyAlignment="1">
      <alignment horizontal="center" vertical="center" wrapText="1"/>
    </xf>
    <xf numFmtId="0" fontId="0" fillId="0" borderId="0" xfId="0" applyFill="1"/>
    <xf numFmtId="0" fontId="38" fillId="0" borderId="0" xfId="0" applyFont="1" applyFill="1" applyAlignment="1">
      <alignment horizontal="center"/>
    </xf>
    <xf numFmtId="0" fontId="19" fillId="0" borderId="0" xfId="0" applyFont="1" applyFill="1" applyAlignment="1" applyProtection="1">
      <protection hidden="1"/>
    </xf>
    <xf numFmtId="0" fontId="4" fillId="0" borderId="0" xfId="0" applyFont="1" applyFill="1" applyAlignment="1" applyProtection="1">
      <protection hidden="1"/>
    </xf>
    <xf numFmtId="0" fontId="1" fillId="0" borderId="0" xfId="0" applyFont="1" applyFill="1" applyAlignment="1"/>
    <xf numFmtId="0" fontId="1" fillId="0" borderId="0" xfId="0" applyFont="1" applyFill="1" applyBorder="1" applyAlignment="1">
      <alignment horizontal="center" vertical="center" wrapText="1"/>
    </xf>
    <xf numFmtId="3" fontId="0" fillId="0" borderId="0" xfId="0" applyNumberFormat="1" applyFill="1" applyBorder="1"/>
    <xf numFmtId="0" fontId="36" fillId="0" borderId="6" xfId="0" applyFont="1" applyBorder="1"/>
    <xf numFmtId="0" fontId="35" fillId="0" borderId="0" xfId="0" applyNumberFormat="1" applyFont="1" applyBorder="1"/>
    <xf numFmtId="0" fontId="37" fillId="0" borderId="37" xfId="0" applyFont="1" applyBorder="1" applyAlignment="1">
      <alignment horizontal="center" vertical="center" wrapText="1"/>
    </xf>
    <xf numFmtId="3" fontId="39" fillId="10" borderId="37" xfId="0" applyNumberFormat="1" applyFont="1" applyFill="1" applyBorder="1"/>
    <xf numFmtId="3" fontId="39" fillId="0" borderId="40" xfId="0" applyNumberFormat="1" applyFont="1" applyBorder="1"/>
    <xf numFmtId="0" fontId="39" fillId="0" borderId="40" xfId="0" applyFont="1" applyBorder="1"/>
    <xf numFmtId="0" fontId="39" fillId="0" borderId="39" xfId="0" applyFont="1" applyBorder="1"/>
    <xf numFmtId="49" fontId="19" fillId="0" borderId="0" xfId="0" applyNumberFormat="1" applyFont="1" applyAlignment="1">
      <alignment horizontal="left"/>
    </xf>
    <xf numFmtId="3" fontId="0" fillId="0" borderId="45" xfId="0" applyNumberFormat="1" applyBorder="1"/>
    <xf numFmtId="3" fontId="0" fillId="0" borderId="46" xfId="0" applyNumberFormat="1" applyBorder="1"/>
    <xf numFmtId="3" fontId="0" fillId="0" borderId="47" xfId="0" applyNumberFormat="1" applyBorder="1"/>
    <xf numFmtId="3" fontId="0" fillId="10" borderId="37" xfId="0" applyNumberFormat="1" applyFill="1" applyBorder="1"/>
    <xf numFmtId="174" fontId="4" fillId="11" borderId="48" xfId="0" applyNumberFormat="1" applyFont="1" applyFill="1" applyBorder="1"/>
    <xf numFmtId="174" fontId="4" fillId="11" borderId="15" xfId="0" applyNumberFormat="1" applyFont="1" applyFill="1" applyBorder="1"/>
    <xf numFmtId="174" fontId="4" fillId="11" borderId="49" xfId="0" applyNumberFormat="1" applyFont="1" applyFill="1" applyBorder="1"/>
    <xf numFmtId="15" fontId="1" fillId="0" borderId="0" xfId="0" applyNumberFormat="1" applyFont="1" applyProtection="1">
      <protection locked="0"/>
    </xf>
    <xf numFmtId="15" fontId="0" fillId="0" borderId="0" xfId="0" applyNumberFormat="1" applyProtection="1">
      <protection locked="0"/>
    </xf>
    <xf numFmtId="0" fontId="8"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3" fillId="0" borderId="0" xfId="0" applyFont="1" applyAlignment="1"/>
    <xf numFmtId="0" fontId="3" fillId="0" borderId="0" xfId="0" applyFont="1"/>
    <xf numFmtId="0" fontId="3" fillId="0" borderId="0" xfId="0" applyFont="1" applyAlignment="1">
      <alignment horizontal="left" vertical="center" indent="5"/>
    </xf>
    <xf numFmtId="0" fontId="42" fillId="0" borderId="0" xfId="0" applyFont="1" applyAlignment="1">
      <alignment horizontal="left" vertical="center" indent="5"/>
    </xf>
    <xf numFmtId="0" fontId="0" fillId="0" borderId="0" xfId="0" applyAlignment="1"/>
    <xf numFmtId="0" fontId="0" fillId="0" borderId="0" xfId="0" applyFont="1" applyAlignment="1">
      <alignment vertical="center"/>
    </xf>
    <xf numFmtId="15" fontId="8" fillId="0" borderId="0" xfId="0" applyNumberFormat="1" applyFont="1" applyAlignment="1">
      <alignment vertical="center"/>
    </xf>
    <xf numFmtId="0" fontId="18" fillId="0" borderId="0" xfId="0" applyFont="1"/>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175" fontId="0" fillId="0" borderId="22" xfId="0" applyNumberFormat="1" applyBorder="1"/>
    <xf numFmtId="175" fontId="0" fillId="10" borderId="25" xfId="0" applyNumberFormat="1" applyFill="1" applyBorder="1"/>
    <xf numFmtId="3" fontId="0" fillId="0" borderId="29" xfId="0" applyNumberFormat="1" applyBorder="1"/>
    <xf numFmtId="1" fontId="0" fillId="0" borderId="0" xfId="0" applyNumberFormat="1"/>
    <xf numFmtId="3" fontId="0" fillId="0" borderId="0" xfId="0" applyNumberFormat="1" applyFill="1"/>
    <xf numFmtId="0" fontId="7" fillId="5" borderId="41" xfId="0" applyFont="1" applyFill="1" applyBorder="1"/>
    <xf numFmtId="0" fontId="7" fillId="5" borderId="21" xfId="0" applyFont="1" applyFill="1" applyBorder="1"/>
    <xf numFmtId="0" fontId="7" fillId="5" borderId="27" xfId="0" applyFont="1" applyFill="1" applyBorder="1"/>
    <xf numFmtId="0" fontId="7" fillId="4" borderId="41" xfId="0" applyFont="1" applyFill="1" applyBorder="1"/>
    <xf numFmtId="0" fontId="7" fillId="4" borderId="21" xfId="0" applyFont="1" applyFill="1" applyBorder="1"/>
    <xf numFmtId="0" fontId="7" fillId="4" borderId="27" xfId="0" applyFont="1" applyFill="1" applyBorder="1"/>
    <xf numFmtId="0" fontId="7" fillId="3" borderId="41" xfId="0" applyFont="1" applyFill="1" applyBorder="1"/>
    <xf numFmtId="0" fontId="7" fillId="3" borderId="21" xfId="0" applyFont="1" applyFill="1" applyBorder="1"/>
    <xf numFmtId="0" fontId="7" fillId="3" borderId="49" xfId="0" applyFont="1" applyFill="1" applyBorder="1"/>
    <xf numFmtId="0" fontId="7" fillId="3" borderId="27" xfId="0" applyFont="1" applyFill="1" applyBorder="1"/>
    <xf numFmtId="10" fontId="4" fillId="12" borderId="23" xfId="0" applyNumberFormat="1" applyFont="1" applyFill="1" applyBorder="1"/>
    <xf numFmtId="171" fontId="19" fillId="12" borderId="36" xfId="0" applyNumberFormat="1" applyFont="1" applyFill="1" applyBorder="1"/>
    <xf numFmtId="0" fontId="31" fillId="11" borderId="41" xfId="0" applyFont="1" applyFill="1" applyBorder="1"/>
    <xf numFmtId="0" fontId="33" fillId="11" borderId="27" xfId="0" applyFont="1" applyFill="1" applyBorder="1"/>
    <xf numFmtId="0" fontId="33" fillId="11" borderId="18" xfId="0" applyFont="1" applyFill="1" applyBorder="1"/>
    <xf numFmtId="0" fontId="19" fillId="12" borderId="14" xfId="0" applyFont="1" applyFill="1" applyBorder="1" applyAlignment="1">
      <alignment horizontal="left"/>
    </xf>
    <xf numFmtId="10" fontId="1" fillId="0" borderId="0" xfId="0" applyNumberFormat="1" applyFont="1" applyProtection="1">
      <protection locked="0"/>
    </xf>
    <xf numFmtId="0" fontId="0" fillId="0" borderId="0" xfId="0" applyFont="1" applyProtection="1">
      <protection locked="0"/>
    </xf>
    <xf numFmtId="3" fontId="0" fillId="0" borderId="0" xfId="0" applyNumberFormat="1" applyFont="1" applyProtection="1">
      <protection locked="0"/>
    </xf>
    <xf numFmtId="0" fontId="39" fillId="0" borderId="2" xfId="0" applyFont="1" applyBorder="1" applyProtection="1">
      <protection locked="0"/>
    </xf>
    <xf numFmtId="3" fontId="39" fillId="0" borderId="3" xfId="0" applyNumberFormat="1" applyFont="1" applyBorder="1" applyProtection="1">
      <protection locked="0"/>
    </xf>
    <xf numFmtId="3" fontId="39" fillId="0" borderId="2" xfId="0" applyNumberFormat="1" applyFont="1" applyBorder="1" applyProtection="1">
      <protection locked="0"/>
    </xf>
    <xf numFmtId="3" fontId="39" fillId="0" borderId="2" xfId="0" applyNumberFormat="1" applyFont="1" applyBorder="1" applyAlignment="1" applyProtection="1">
      <alignment horizontal="right"/>
      <protection locked="0"/>
    </xf>
    <xf numFmtId="0" fontId="39" fillId="0" borderId="0" xfId="0" applyFont="1" applyBorder="1" applyProtection="1">
      <protection locked="0"/>
    </xf>
    <xf numFmtId="3" fontId="39" fillId="0" borderId="0" xfId="0" applyNumberFormat="1" applyFont="1" applyBorder="1" applyProtection="1">
      <protection locked="0"/>
    </xf>
    <xf numFmtId="3" fontId="39" fillId="0" borderId="0" xfId="0" applyNumberFormat="1" applyFont="1" applyBorder="1" applyAlignment="1" applyProtection="1">
      <alignment horizontal="right"/>
      <protection locked="0"/>
    </xf>
    <xf numFmtId="3" fontId="39" fillId="0" borderId="1" xfId="0" applyNumberFormat="1" applyFont="1" applyBorder="1" applyProtection="1">
      <protection locked="0"/>
    </xf>
    <xf numFmtId="3" fontId="43" fillId="0" borderId="0" xfId="0" applyNumberFormat="1" applyFont="1" applyBorder="1" applyProtection="1">
      <protection locked="0"/>
    </xf>
    <xf numFmtId="3" fontId="39" fillId="0" borderId="0" xfId="0" applyNumberFormat="1" applyFont="1" applyProtection="1">
      <protection locked="0"/>
    </xf>
    <xf numFmtId="0" fontId="39" fillId="0" borderId="0" xfId="0" applyFont="1" applyProtection="1">
      <protection locked="0"/>
    </xf>
    <xf numFmtId="3" fontId="43" fillId="0" borderId="0" xfId="0" applyNumberFormat="1" applyFont="1" applyProtection="1">
      <protection locked="0"/>
    </xf>
    <xf numFmtId="165" fontId="37" fillId="0" borderId="0" xfId="0" applyNumberFormat="1" applyFont="1" applyProtection="1"/>
    <xf numFmtId="0" fontId="39" fillId="0" borderId="1" xfId="0" applyFont="1" applyBorder="1" applyProtection="1">
      <protection locked="0"/>
    </xf>
    <xf numFmtId="0" fontId="39" fillId="0" borderId="0" xfId="0" applyFont="1" applyAlignment="1" applyProtection="1">
      <alignment horizontal="left"/>
      <protection locked="0"/>
    </xf>
    <xf numFmtId="0" fontId="39" fillId="0" borderId="0" xfId="0" applyFont="1" applyAlignment="1" applyProtection="1">
      <alignment horizontal="right"/>
      <protection locked="0"/>
    </xf>
    <xf numFmtId="0" fontId="0" fillId="0" borderId="0" xfId="0" applyAlignment="1" applyProtection="1">
      <alignment horizontal="left" wrapText="1"/>
      <protection locked="0"/>
    </xf>
    <xf numFmtId="165" fontId="0" fillId="0" borderId="0" xfId="0" applyNumberFormat="1" applyProtection="1">
      <protection locked="0"/>
    </xf>
    <xf numFmtId="0" fontId="0" fillId="0" borderId="0" xfId="0" applyAlignment="1">
      <alignment wrapText="1"/>
    </xf>
    <xf numFmtId="0" fontId="1" fillId="0" borderId="0" xfId="0" applyFont="1" applyAlignment="1">
      <alignment wrapText="1"/>
    </xf>
    <xf numFmtId="9" fontId="1" fillId="0" borderId="0" xfId="0" applyNumberFormat="1" applyFont="1" applyAlignment="1" applyProtection="1">
      <alignment wrapText="1"/>
      <protection locked="0"/>
    </xf>
    <xf numFmtId="0" fontId="0" fillId="0" borderId="25" xfId="0" applyBorder="1" applyAlignment="1">
      <alignment horizontal="center" vertical="top" wrapText="1"/>
    </xf>
    <xf numFmtId="0" fontId="0" fillId="0" borderId="25" xfId="0" applyBorder="1" applyAlignment="1" applyProtection="1">
      <alignment horizontal="center" vertical="top" wrapText="1"/>
      <protection locked="0"/>
    </xf>
    <xf numFmtId="0" fontId="0" fillId="0" borderId="0" xfId="0" applyAlignment="1">
      <alignment horizontal="center" vertical="top" wrapText="1"/>
    </xf>
    <xf numFmtId="0" fontId="0" fillId="0" borderId="25" xfId="0" applyBorder="1" applyAlignment="1">
      <alignment wrapText="1"/>
    </xf>
    <xf numFmtId="0" fontId="0" fillId="0" borderId="25" xfId="0" applyBorder="1" applyAlignment="1"/>
    <xf numFmtId="3" fontId="0" fillId="0" borderId="25" xfId="0" applyNumberFormat="1" applyBorder="1" applyAlignment="1">
      <alignment wrapText="1"/>
    </xf>
    <xf numFmtId="3" fontId="0" fillId="0" borderId="25" xfId="0" applyNumberFormat="1" applyBorder="1" applyAlignment="1" applyProtection="1">
      <protection locked="0"/>
    </xf>
    <xf numFmtId="3" fontId="0" fillId="0" borderId="25" xfId="0" applyNumberFormat="1" applyBorder="1" applyAlignment="1"/>
    <xf numFmtId="3" fontId="0" fillId="0" borderId="25" xfId="0" applyNumberFormat="1" applyBorder="1" applyAlignment="1">
      <alignment vertical="top" wrapText="1"/>
    </xf>
    <xf numFmtId="0" fontId="18" fillId="0" borderId="0" xfId="0" applyFont="1" applyAlignment="1" applyProtection="1">
      <protection locked="0"/>
    </xf>
    <xf numFmtId="0" fontId="0" fillId="0" borderId="0" xfId="0" applyAlignment="1" applyProtection="1">
      <protection locked="0"/>
    </xf>
    <xf numFmtId="1" fontId="1" fillId="0" borderId="0" xfId="0" applyNumberFormat="1" applyFont="1" applyProtection="1">
      <protection locked="0"/>
    </xf>
    <xf numFmtId="174" fontId="1" fillId="0" borderId="0" xfId="0" applyNumberFormat="1" applyFont="1" applyAlignment="1">
      <alignment wrapText="1"/>
    </xf>
    <xf numFmtId="0" fontId="1" fillId="0" borderId="0" xfId="0" applyFont="1" applyAlignment="1">
      <alignment horizontal="center"/>
    </xf>
    <xf numFmtId="1" fontId="19" fillId="0" borderId="0" xfId="0" applyNumberFormat="1" applyFont="1" applyAlignment="1">
      <alignment horizontal="left"/>
    </xf>
    <xf numFmtId="0" fontId="4" fillId="12" borderId="15" xfId="0" applyFont="1" applyFill="1" applyBorder="1"/>
    <xf numFmtId="0" fontId="16" fillId="12" borderId="15" xfId="2" applyFill="1" applyBorder="1"/>
    <xf numFmtId="173" fontId="19" fillId="12" borderId="14" xfId="0" applyNumberFormat="1" applyFont="1" applyFill="1" applyBorder="1" applyAlignment="1">
      <alignment horizontal="left"/>
    </xf>
    <xf numFmtId="173" fontId="19" fillId="12" borderId="15" xfId="0" applyNumberFormat="1" applyFont="1" applyFill="1" applyBorder="1" applyAlignment="1">
      <alignment horizontal="left"/>
    </xf>
    <xf numFmtId="173" fontId="19" fillId="12" borderId="17" xfId="0" applyNumberFormat="1" applyFont="1" applyFill="1" applyBorder="1" applyAlignment="1">
      <alignment horizontal="left"/>
    </xf>
    <xf numFmtId="49" fontId="4" fillId="12" borderId="15" xfId="0" applyNumberFormat="1" applyFont="1" applyFill="1" applyBorder="1"/>
    <xf numFmtId="3" fontId="19" fillId="0" borderId="0" xfId="0" applyNumberFormat="1" applyFont="1"/>
    <xf numFmtId="0" fontId="0" fillId="0" borderId="0" xfId="0" applyNumberFormat="1" applyAlignment="1" applyProtection="1">
      <protection locked="0"/>
    </xf>
    <xf numFmtId="3" fontId="44" fillId="14" borderId="37" xfId="0" applyNumberFormat="1" applyFont="1" applyFill="1" applyBorder="1"/>
    <xf numFmtId="0" fontId="15" fillId="8" borderId="0" xfId="0" applyFont="1" applyFill="1" applyBorder="1" applyAlignment="1">
      <alignment vertical="center" wrapText="1"/>
    </xf>
    <xf numFmtId="0" fontId="0" fillId="0" borderId="50" xfId="0" applyBorder="1"/>
    <xf numFmtId="0" fontId="15" fillId="8" borderId="51" xfId="0" applyFont="1" applyFill="1" applyBorder="1" applyAlignment="1">
      <alignment vertical="center" wrapText="1"/>
    </xf>
    <xf numFmtId="169" fontId="15" fillId="9" borderId="51" xfId="0" applyNumberFormat="1" applyFont="1" applyFill="1" applyBorder="1" applyAlignment="1">
      <alignment horizontal="center" vertical="center" wrapText="1"/>
    </xf>
    <xf numFmtId="0" fontId="0" fillId="0" borderId="52" xfId="0" applyBorder="1"/>
    <xf numFmtId="0" fontId="15" fillId="8" borderId="53" xfId="0" applyFont="1" applyFill="1" applyBorder="1" applyAlignment="1">
      <alignment vertical="center" wrapText="1"/>
    </xf>
    <xf numFmtId="14" fontId="15" fillId="9" borderId="53" xfId="0" applyNumberFormat="1" applyFont="1" applyFill="1" applyBorder="1" applyAlignment="1">
      <alignment horizontal="center" vertical="center" wrapText="1"/>
    </xf>
    <xf numFmtId="14" fontId="15" fillId="9" borderId="51" xfId="0" applyNumberFormat="1" applyFont="1" applyFill="1" applyBorder="1" applyAlignment="1">
      <alignment horizontal="center" vertical="center" wrapText="1"/>
    </xf>
    <xf numFmtId="14" fontId="0" fillId="0" borderId="0" xfId="0" applyNumberFormat="1"/>
    <xf numFmtId="0" fontId="45" fillId="0" borderId="0" xfId="0" applyFont="1" applyAlignment="1">
      <alignment horizontal="center" vertical="center"/>
    </xf>
    <xf numFmtId="0" fontId="46" fillId="0" borderId="0" xfId="0" applyFont="1" applyAlignment="1">
      <alignment horizontal="center" vertical="center"/>
    </xf>
    <xf numFmtId="0" fontId="46" fillId="0" borderId="0" xfId="0" applyFont="1" applyAlignment="1">
      <alignment vertical="center"/>
    </xf>
    <xf numFmtId="0" fontId="15" fillId="0" borderId="0" xfId="0" applyFont="1" applyAlignment="1">
      <alignment vertical="center"/>
    </xf>
    <xf numFmtId="0" fontId="47" fillId="0" borderId="0" xfId="0" applyFont="1" applyAlignment="1">
      <alignment vertical="center"/>
    </xf>
    <xf numFmtId="1" fontId="8" fillId="0" borderId="0" xfId="0" applyNumberFormat="1" applyFont="1" applyAlignment="1">
      <alignment horizontal="left"/>
    </xf>
    <xf numFmtId="176" fontId="8" fillId="0" borderId="0" xfId="0" applyNumberFormat="1" applyFont="1" applyAlignment="1">
      <alignment horizontal="left"/>
    </xf>
    <xf numFmtId="0" fontId="6" fillId="0" borderId="0" xfId="0" applyFont="1" applyAlignment="1">
      <alignment horizontal="left" vertical="top" wrapText="1" indent="1"/>
    </xf>
    <xf numFmtId="0" fontId="6" fillId="0" borderId="0" xfId="0" applyFont="1" applyAlignment="1">
      <alignment vertical="center"/>
    </xf>
    <xf numFmtId="0" fontId="6" fillId="0" borderId="0" xfId="0" applyFont="1" applyAlignment="1">
      <alignment horizontal="left" vertical="center" wrapText="1" indent="1"/>
    </xf>
    <xf numFmtId="0" fontId="6" fillId="0" borderId="30" xfId="0" applyFont="1" applyBorder="1" applyAlignment="1">
      <alignment vertical="center" wrapText="1"/>
    </xf>
    <xf numFmtId="0" fontId="7" fillId="0" borderId="30" xfId="0" applyFont="1" applyBorder="1" applyAlignment="1">
      <alignment vertical="center" wrapText="1"/>
    </xf>
    <xf numFmtId="0" fontId="7" fillId="0" borderId="0" xfId="0" applyFont="1" applyAlignment="1">
      <alignment vertical="center"/>
    </xf>
    <xf numFmtId="0" fontId="7" fillId="0" borderId="13" xfId="0" applyFont="1" applyBorder="1" applyAlignment="1">
      <alignment vertical="center" wrapText="1"/>
    </xf>
    <xf numFmtId="0" fontId="6" fillId="0" borderId="4" xfId="0" applyFont="1" applyBorder="1"/>
    <xf numFmtId="0" fontId="6" fillId="0" borderId="30" xfId="0" applyFont="1" applyBorder="1" applyAlignment="1">
      <alignment vertical="center"/>
    </xf>
    <xf numFmtId="14" fontId="6" fillId="0" borderId="30" xfId="0" applyNumberFormat="1" applyFont="1" applyBorder="1" applyAlignment="1">
      <alignment horizontal="left" vertical="center" wrapText="1"/>
    </xf>
    <xf numFmtId="0" fontId="48" fillId="0" borderId="0" xfId="0" applyFont="1" applyAlignment="1">
      <alignment horizontal="center"/>
    </xf>
    <xf numFmtId="20" fontId="15" fillId="0" borderId="0" xfId="0" applyNumberFormat="1" applyFont="1" applyAlignment="1">
      <alignment horizontal="left" vertical="center"/>
    </xf>
    <xf numFmtId="0" fontId="15" fillId="0" borderId="0" xfId="0" applyFont="1" applyAlignment="1">
      <alignment horizontal="left" vertical="center"/>
    </xf>
    <xf numFmtId="0" fontId="49" fillId="0" borderId="0" xfId="0" applyFont="1" applyAlignment="1">
      <alignment horizontal="right" vertical="center"/>
    </xf>
    <xf numFmtId="0" fontId="16" fillId="0" borderId="0" xfId="2" applyAlignment="1">
      <alignment horizontal="right"/>
    </xf>
    <xf numFmtId="0" fontId="8" fillId="0" borderId="0" xfId="0" applyFont="1" applyAlignment="1">
      <alignment horizontal="right"/>
    </xf>
    <xf numFmtId="0" fontId="50" fillId="0" borderId="0" xfId="0" applyFont="1" applyAlignment="1">
      <alignment vertical="center"/>
    </xf>
    <xf numFmtId="0" fontId="3" fillId="0" borderId="0" xfId="0" applyFont="1" applyAlignment="1">
      <alignment vertical="center"/>
    </xf>
    <xf numFmtId="0" fontId="51" fillId="0" borderId="0" xfId="0" applyFont="1" applyAlignment="1">
      <alignment vertical="center"/>
    </xf>
    <xf numFmtId="0" fontId="3" fillId="0" borderId="0" xfId="0" applyFont="1" applyAlignment="1">
      <alignment horizontal="right" vertical="center"/>
    </xf>
    <xf numFmtId="0" fontId="7" fillId="0" borderId="0" xfId="0" applyFont="1" applyAlignment="1">
      <alignment horizontal="left" vertical="top" wrapText="1" indent="1"/>
    </xf>
    <xf numFmtId="0" fontId="51" fillId="0" borderId="0" xfId="0" applyFont="1"/>
    <xf numFmtId="0" fontId="52" fillId="0" borderId="0" xfId="0" applyFont="1"/>
    <xf numFmtId="171" fontId="35" fillId="0" borderId="0" xfId="0" applyNumberFormat="1" applyFont="1"/>
    <xf numFmtId="0" fontId="6" fillId="0" borderId="0" xfId="0" applyFont="1" applyAlignment="1">
      <alignment horizontal="left" vertical="center" indent="7"/>
    </xf>
    <xf numFmtId="0" fontId="0" fillId="0" borderId="1" xfId="0" applyBorder="1"/>
    <xf numFmtId="0" fontId="16" fillId="0" borderId="0" xfId="2"/>
    <xf numFmtId="0" fontId="6" fillId="0" borderId="0" xfId="0" applyFont="1" applyBorder="1"/>
    <xf numFmtId="0" fontId="0" fillId="0" borderId="0" xfId="0" applyAlignment="1">
      <alignment vertical="center"/>
    </xf>
    <xf numFmtId="0" fontId="0" fillId="0" borderId="0" xfId="0" applyAlignment="1">
      <alignment vertical="top"/>
    </xf>
    <xf numFmtId="0" fontId="1" fillId="10" borderId="19"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0" fillId="0" borderId="56"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10" borderId="25" xfId="0" applyFont="1" applyFill="1" applyBorder="1" applyAlignment="1">
      <alignment vertical="center"/>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15" borderId="34" xfId="0" applyFont="1" applyFill="1" applyBorder="1" applyAlignment="1" applyProtection="1">
      <alignment horizontal="center" vertical="center"/>
      <protection locked="0"/>
    </xf>
    <xf numFmtId="0" fontId="0" fillId="15" borderId="46"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15" borderId="6" xfId="0" applyFont="1" applyFill="1" applyBorder="1" applyAlignment="1">
      <alignment horizontal="right" vertical="center"/>
    </xf>
    <xf numFmtId="0" fontId="0" fillId="15" borderId="0" xfId="0" applyFont="1" applyFill="1" applyBorder="1" applyAlignment="1">
      <alignment horizontal="right" vertical="center"/>
    </xf>
    <xf numFmtId="0" fontId="0" fillId="15" borderId="49" xfId="0" applyFont="1" applyFill="1" applyBorder="1" applyAlignment="1">
      <alignment horizontal="right" vertical="center"/>
    </xf>
    <xf numFmtId="0" fontId="0" fillId="0" borderId="34"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3" fillId="10" borderId="82" xfId="0" applyFont="1" applyFill="1" applyBorder="1" applyAlignment="1">
      <alignment horizontal="left" vertical="center"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0" fillId="0" borderId="112" xfId="0" applyFont="1" applyBorder="1" applyAlignment="1" applyProtection="1">
      <alignment horizontal="center" vertical="center"/>
      <protection locked="0"/>
    </xf>
    <xf numFmtId="0" fontId="3" fillId="10" borderId="99" xfId="0" applyFont="1" applyFill="1" applyBorder="1" applyAlignment="1">
      <alignment horizontal="center" vertical="center" wrapText="1"/>
    </xf>
    <xf numFmtId="0" fontId="3" fillId="10" borderId="46" xfId="0" applyFont="1" applyFill="1" applyBorder="1" applyAlignment="1">
      <alignment horizontal="center" vertical="center" wrapText="1"/>
    </xf>
    <xf numFmtId="49" fontId="53" fillId="0" borderId="120" xfId="0" applyNumberFormat="1" applyFont="1" applyFill="1" applyBorder="1" applyAlignment="1" applyProtection="1">
      <alignment horizontal="center" vertical="center"/>
      <protection locked="0"/>
    </xf>
    <xf numFmtId="178" fontId="53" fillId="0" borderId="121" xfId="0" applyNumberFormat="1" applyFont="1" applyFill="1" applyBorder="1" applyAlignment="1" applyProtection="1">
      <alignment horizontal="center" vertical="center"/>
      <protection locked="0"/>
    </xf>
    <xf numFmtId="49" fontId="53" fillId="0" borderId="127" xfId="0" applyNumberFormat="1" applyFont="1" applyFill="1" applyBorder="1" applyAlignment="1" applyProtection="1">
      <alignment horizontal="center" vertical="center"/>
      <protection locked="0"/>
    </xf>
    <xf numFmtId="178" fontId="53" fillId="0" borderId="135" xfId="0" applyNumberFormat="1" applyFont="1" applyFill="1" applyBorder="1" applyAlignment="1" applyProtection="1">
      <alignment horizontal="center" vertical="center"/>
      <protection locked="0"/>
    </xf>
    <xf numFmtId="0" fontId="54" fillId="20" borderId="19" xfId="0" applyFont="1" applyFill="1" applyBorder="1" applyAlignment="1">
      <alignment horizontal="center" vertical="center"/>
    </xf>
    <xf numFmtId="178" fontId="54" fillId="20" borderId="20" xfId="0" applyNumberFormat="1" applyFont="1" applyFill="1" applyBorder="1" applyAlignment="1">
      <alignment horizontal="center" vertical="center"/>
    </xf>
    <xf numFmtId="0" fontId="0" fillId="2" borderId="57" xfId="0" applyFont="1" applyFill="1" applyBorder="1" applyAlignment="1" applyProtection="1">
      <alignment horizontal="left" vertical="center" wrapText="1"/>
      <protection locked="0"/>
    </xf>
    <xf numFmtId="0" fontId="0" fillId="2" borderId="55" xfId="0" applyFont="1" applyFill="1" applyBorder="1" applyAlignment="1" applyProtection="1">
      <alignment horizontal="left" vertical="center" wrapText="1"/>
      <protection locked="0"/>
    </xf>
    <xf numFmtId="0" fontId="55" fillId="0" borderId="0" xfId="0" applyFont="1"/>
    <xf numFmtId="0" fontId="6" fillId="0" borderId="0" xfId="0" applyNumberFormat="1" applyFont="1" applyAlignment="1">
      <alignment vertical="center"/>
    </xf>
    <xf numFmtId="0" fontId="0" fillId="0" borderId="62" xfId="0" applyBorder="1"/>
    <xf numFmtId="165" fontId="5" fillId="0" borderId="0" xfId="0" applyNumberFormat="1" applyFont="1"/>
    <xf numFmtId="3" fontId="19" fillId="11" borderId="38" xfId="0" applyNumberFormat="1" applyFont="1" applyFill="1" applyBorder="1"/>
    <xf numFmtId="173" fontId="4" fillId="12" borderId="25" xfId="0" applyNumberFormat="1" applyFont="1" applyFill="1" applyBorder="1"/>
    <xf numFmtId="0" fontId="36" fillId="0" borderId="0" xfId="0" applyNumberFormat="1" applyFont="1"/>
    <xf numFmtId="3" fontId="4" fillId="12" borderId="25" xfId="0" applyNumberFormat="1" applyFont="1" applyFill="1" applyBorder="1" applyAlignment="1">
      <alignment wrapText="1"/>
    </xf>
    <xf numFmtId="0" fontId="19" fillId="12" borderId="37" xfId="0" applyFont="1" applyFill="1" applyBorder="1"/>
    <xf numFmtId="170" fontId="15" fillId="9" borderId="11" xfId="0" applyNumberFormat="1" applyFont="1" applyFill="1" applyBorder="1" applyAlignment="1">
      <alignment horizontal="center" vertical="center" wrapText="1"/>
    </xf>
    <xf numFmtId="170" fontId="15" fillId="9" borderId="51" xfId="0" applyNumberFormat="1" applyFont="1" applyFill="1" applyBorder="1" applyAlignment="1">
      <alignment horizontal="center" vertical="center" wrapText="1"/>
    </xf>
    <xf numFmtId="1" fontId="39" fillId="0" borderId="0" xfId="0" applyNumberFormat="1" applyFont="1" applyBorder="1" applyProtection="1">
      <protection locked="0"/>
    </xf>
    <xf numFmtId="0" fontId="9" fillId="0" borderId="0" xfId="0" applyFont="1" applyAlignment="1">
      <alignment vertical="center"/>
    </xf>
    <xf numFmtId="1" fontId="1" fillId="0" borderId="0" xfId="0" applyNumberFormat="1" applyFont="1"/>
    <xf numFmtId="0" fontId="23" fillId="0" borderId="0" xfId="1" applyFont="1" applyFill="1" applyBorder="1" applyAlignment="1">
      <alignment horizontal="center"/>
    </xf>
    <xf numFmtId="14" fontId="27" fillId="0" borderId="0" xfId="0" applyNumberFormat="1" applyFont="1" applyFill="1" applyBorder="1" applyAlignment="1">
      <alignment horizontal="left" vertical="center" wrapText="1"/>
    </xf>
    <xf numFmtId="0" fontId="27" fillId="0" borderId="0" xfId="0" applyFont="1" applyFill="1" applyAlignment="1">
      <alignment vertical="center" wrapText="1"/>
    </xf>
    <xf numFmtId="0" fontId="27" fillId="0" borderId="0" xfId="0" applyFont="1" applyFill="1" applyBorder="1" applyAlignment="1">
      <alignment vertical="center" wrapText="1"/>
    </xf>
    <xf numFmtId="0" fontId="26" fillId="0" borderId="0" xfId="0" applyFont="1" applyFill="1" applyBorder="1" applyAlignment="1">
      <alignment vertical="center" wrapText="1"/>
    </xf>
    <xf numFmtId="0" fontId="34" fillId="0" borderId="0" xfId="0" applyFont="1" applyFill="1" applyBorder="1" applyAlignment="1">
      <alignment vertical="center" wrapText="1"/>
    </xf>
    <xf numFmtId="0" fontId="25" fillId="0" borderId="0" xfId="0" applyFont="1" applyFill="1"/>
    <xf numFmtId="0" fontId="22" fillId="0" borderId="0" xfId="0" applyFont="1" applyFill="1" applyAlignment="1">
      <alignment vertical="center" wrapText="1"/>
    </xf>
    <xf numFmtId="0" fontId="20" fillId="0" borderId="0" xfId="0" applyFont="1" applyFill="1" applyBorder="1" applyAlignment="1">
      <alignment vertical="center" wrapText="1"/>
    </xf>
    <xf numFmtId="0" fontId="0" fillId="0" borderId="0" xfId="0" applyFill="1" applyAlignment="1"/>
    <xf numFmtId="0" fontId="56" fillId="0" borderId="0" xfId="0" applyFont="1" applyFill="1" applyAlignment="1"/>
    <xf numFmtId="0" fontId="56" fillId="0" borderId="0" xfId="0" applyFont="1" applyFill="1"/>
    <xf numFmtId="0" fontId="26" fillId="0" borderId="30" xfId="0" applyFont="1" applyFill="1" applyBorder="1" applyAlignment="1">
      <alignment vertical="center" wrapText="1"/>
    </xf>
    <xf numFmtId="14" fontId="27" fillId="0" borderId="30" xfId="0" applyNumberFormat="1" applyFont="1" applyFill="1" applyBorder="1" applyAlignment="1">
      <alignment horizontal="left" vertical="center" wrapText="1"/>
    </xf>
    <xf numFmtId="0" fontId="27" fillId="0" borderId="30" xfId="0" applyFont="1" applyFill="1" applyBorder="1" applyAlignment="1">
      <alignment vertical="center" wrapText="1"/>
    </xf>
    <xf numFmtId="0" fontId="26" fillId="0" borderId="2" xfId="0" applyFont="1" applyFill="1" applyBorder="1" applyAlignment="1">
      <alignment vertical="center" wrapText="1"/>
    </xf>
    <xf numFmtId="0" fontId="26" fillId="0" borderId="43" xfId="0" applyFont="1" applyFill="1" applyBorder="1" applyAlignment="1">
      <alignment vertical="center"/>
    </xf>
    <xf numFmtId="0" fontId="34" fillId="0" borderId="43" xfId="0" applyFont="1" applyFill="1" applyBorder="1" applyAlignment="1">
      <alignment vertical="center" wrapText="1"/>
    </xf>
    <xf numFmtId="0" fontId="28" fillId="0" borderId="0" xfId="0" applyFont="1" applyFill="1" applyAlignment="1">
      <alignment horizontal="center"/>
    </xf>
    <xf numFmtId="0" fontId="28" fillId="0" borderId="0" xfId="0" applyFont="1" applyFill="1"/>
    <xf numFmtId="14" fontId="28" fillId="0" borderId="0" xfId="0" applyNumberFormat="1" applyFont="1" applyFill="1" applyAlignment="1">
      <alignment vertical="top"/>
    </xf>
    <xf numFmtId="0" fontId="27" fillId="0" borderId="31" xfId="0" applyFont="1" applyFill="1" applyBorder="1" applyAlignment="1">
      <alignment vertical="center" wrapText="1"/>
    </xf>
    <xf numFmtId="1" fontId="26" fillId="0" borderId="32" xfId="0" applyNumberFormat="1" applyFont="1" applyFill="1" applyBorder="1" applyAlignment="1">
      <alignment horizontal="center" vertical="center" wrapText="1"/>
    </xf>
    <xf numFmtId="0" fontId="27" fillId="0" borderId="33" xfId="0" applyFont="1" applyFill="1" applyBorder="1" applyAlignment="1">
      <alignment vertical="center" wrapText="1"/>
    </xf>
    <xf numFmtId="0" fontId="27" fillId="0" borderId="17" xfId="0" applyFont="1" applyFill="1" applyBorder="1" applyAlignment="1">
      <alignment horizontal="right" vertical="center" wrapText="1"/>
    </xf>
    <xf numFmtId="0" fontId="27" fillId="0" borderId="0" xfId="0" applyFont="1" applyFill="1" applyBorder="1" applyAlignment="1">
      <alignment horizontal="right" vertical="center" wrapText="1"/>
    </xf>
    <xf numFmtId="3" fontId="27" fillId="0" borderId="17" xfId="0" applyNumberFormat="1" applyFont="1" applyFill="1" applyBorder="1" applyAlignment="1">
      <alignment horizontal="right" vertical="center" wrapText="1"/>
    </xf>
    <xf numFmtId="3" fontId="27" fillId="0" borderId="0" xfId="0" applyNumberFormat="1"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0" borderId="13" xfId="0" applyFont="1" applyFill="1" applyBorder="1" applyAlignment="1">
      <alignment vertical="center" wrapText="1"/>
    </xf>
    <xf numFmtId="3" fontId="27" fillId="0" borderId="13" xfId="0" applyNumberFormat="1" applyFont="1" applyFill="1" applyBorder="1" applyAlignment="1">
      <alignment horizontal="right" vertical="center" wrapText="1"/>
    </xf>
    <xf numFmtId="0" fontId="27" fillId="0" borderId="0" xfId="0" applyFont="1" applyFill="1" applyAlignment="1">
      <alignment vertical="center"/>
    </xf>
    <xf numFmtId="0" fontId="20" fillId="0" borderId="0" xfId="0" applyFont="1" applyFill="1" applyAlignment="1">
      <alignment vertical="center" wrapText="1"/>
    </xf>
    <xf numFmtId="0" fontId="21" fillId="0" borderId="0" xfId="0" applyFont="1" applyFill="1" applyBorder="1" applyAlignment="1">
      <alignment vertical="center" wrapText="1"/>
    </xf>
    <xf numFmtId="0" fontId="24" fillId="0" borderId="0" xfId="0" applyFont="1" applyFill="1" applyAlignment="1">
      <alignment horizontal="left" vertical="center"/>
    </xf>
    <xf numFmtId="0" fontId="56" fillId="0" borderId="2" xfId="0" applyFont="1" applyFill="1" applyBorder="1" applyAlignment="1">
      <alignment horizontal="left" vertical="center"/>
    </xf>
    <xf numFmtId="0" fontId="0" fillId="0" borderId="2" xfId="0" applyFill="1" applyBorder="1" applyAlignment="1">
      <alignment vertical="center"/>
    </xf>
    <xf numFmtId="0" fontId="20" fillId="0" borderId="0" xfId="0" applyFont="1" applyFill="1" applyAlignment="1">
      <alignment vertical="center"/>
    </xf>
    <xf numFmtId="0" fontId="25" fillId="0" borderId="0" xfId="0" applyFont="1" applyFill="1" applyAlignment="1"/>
    <xf numFmtId="0" fontId="56" fillId="0" borderId="0" xfId="0" applyFont="1" applyFill="1" applyAlignment="1">
      <alignment horizontal="left" vertical="center"/>
    </xf>
    <xf numFmtId="0" fontId="24" fillId="0" borderId="0" xfId="0" applyFont="1" applyFill="1" applyAlignment="1">
      <alignment horizontal="left" vertical="center" indent="7"/>
    </xf>
    <xf numFmtId="0" fontId="25" fillId="0" borderId="0" xfId="0" applyFont="1" applyFill="1" applyAlignment="1">
      <alignment horizontal="left"/>
    </xf>
    <xf numFmtId="0" fontId="56" fillId="0" borderId="0" xfId="0" applyFont="1" applyFill="1" applyAlignment="1">
      <alignment vertical="center"/>
    </xf>
    <xf numFmtId="0" fontId="56" fillId="0" borderId="0" xfId="0" applyFont="1" applyFill="1" applyAlignment="1">
      <alignment horizontal="left"/>
    </xf>
    <xf numFmtId="0" fontId="0" fillId="21" borderId="0" xfId="0" applyFill="1"/>
    <xf numFmtId="0" fontId="23" fillId="21" borderId="0" xfId="1" applyFont="1" applyFill="1" applyBorder="1" applyAlignment="1">
      <alignment horizontal="center"/>
    </xf>
    <xf numFmtId="14" fontId="27" fillId="21" borderId="0" xfId="0" applyNumberFormat="1" applyFont="1" applyFill="1" applyBorder="1" applyAlignment="1">
      <alignment horizontal="left" vertical="center" wrapText="1"/>
    </xf>
    <xf numFmtId="0" fontId="27" fillId="21" borderId="0" xfId="0" applyFont="1" applyFill="1" applyAlignment="1">
      <alignment vertical="center" wrapText="1"/>
    </xf>
    <xf numFmtId="0" fontId="27" fillId="21" borderId="0" xfId="0" applyFont="1" applyFill="1" applyBorder="1" applyAlignment="1">
      <alignment vertical="center" wrapText="1"/>
    </xf>
    <xf numFmtId="0" fontId="26" fillId="21" borderId="0" xfId="0" applyFont="1" applyFill="1" applyBorder="1" applyAlignment="1">
      <alignment vertical="center" wrapText="1"/>
    </xf>
    <xf numFmtId="0" fontId="34" fillId="21" borderId="0" xfId="0" applyFont="1" applyFill="1" applyBorder="1" applyAlignment="1">
      <alignment vertical="center" wrapText="1"/>
    </xf>
    <xf numFmtId="0" fontId="25" fillId="21" borderId="0" xfId="0" applyFont="1" applyFill="1"/>
    <xf numFmtId="0" fontId="22" fillId="21" borderId="0" xfId="0" applyFont="1" applyFill="1" applyAlignment="1">
      <alignment vertical="center" wrapText="1"/>
    </xf>
    <xf numFmtId="0" fontId="20" fillId="21" borderId="0" xfId="0" applyFont="1" applyFill="1" applyBorder="1" applyAlignment="1">
      <alignment vertical="center" wrapText="1"/>
    </xf>
    <xf numFmtId="0" fontId="0" fillId="21" borderId="0" xfId="0" applyFill="1" applyAlignment="1"/>
    <xf numFmtId="0" fontId="56" fillId="21" borderId="0" xfId="0" applyFont="1" applyFill="1" applyAlignment="1"/>
    <xf numFmtId="0" fontId="56" fillId="21" borderId="0" xfId="0" applyFont="1" applyFill="1"/>
    <xf numFmtId="0" fontId="0" fillId="0" borderId="0" xfId="0" applyFill="1" applyBorder="1" applyAlignment="1">
      <alignment vertical="center" wrapText="1"/>
    </xf>
    <xf numFmtId="0" fontId="36" fillId="15" borderId="35" xfId="0" applyFont="1" applyFill="1" applyBorder="1"/>
    <xf numFmtId="3" fontId="0" fillId="15" borderId="36" xfId="0" applyNumberFormat="1" applyFill="1" applyBorder="1"/>
    <xf numFmtId="0" fontId="0" fillId="0" borderId="0" xfId="0" applyFont="1" applyFill="1" applyAlignment="1">
      <alignment horizontal="left"/>
    </xf>
    <xf numFmtId="0" fontId="57" fillId="0" borderId="0" xfId="0" applyFont="1"/>
    <xf numFmtId="177" fontId="0" fillId="0" borderId="0" xfId="0" applyNumberFormat="1"/>
    <xf numFmtId="177" fontId="11" fillId="0" borderId="0" xfId="0" applyNumberFormat="1" applyFont="1" applyAlignment="1">
      <alignment horizontal="center"/>
    </xf>
    <xf numFmtId="175" fontId="1" fillId="0" borderId="0" xfId="0" applyNumberFormat="1" applyFont="1"/>
    <xf numFmtId="0" fontId="7" fillId="14" borderId="27" xfId="0" applyFont="1" applyFill="1" applyBorder="1"/>
    <xf numFmtId="3" fontId="4" fillId="0" borderId="0" xfId="0" applyNumberFormat="1" applyFont="1"/>
    <xf numFmtId="3" fontId="58" fillId="0" borderId="0" xfId="0" applyNumberFormat="1" applyFont="1"/>
    <xf numFmtId="0" fontId="15" fillId="9" borderId="53" xfId="0" applyNumberFormat="1" applyFont="1" applyFill="1" applyBorder="1" applyAlignment="1">
      <alignment horizontal="center" vertical="center" wrapText="1"/>
    </xf>
    <xf numFmtId="0" fontId="59" fillId="8" borderId="53" xfId="0" applyFont="1" applyFill="1" applyBorder="1" applyAlignment="1">
      <alignment vertical="center" wrapText="1"/>
    </xf>
    <xf numFmtId="14" fontId="60" fillId="9" borderId="53" xfId="0" applyNumberFormat="1" applyFont="1" applyFill="1" applyBorder="1" applyAlignment="1">
      <alignment horizontal="center" vertical="center" wrapText="1"/>
    </xf>
    <xf numFmtId="0" fontId="61" fillId="0" borderId="0" xfId="0" applyFont="1" applyProtection="1">
      <protection locked="0"/>
    </xf>
    <xf numFmtId="0" fontId="0" fillId="0" borderId="0" xfId="0" applyAlignment="1" applyProtection="1">
      <alignment horizontal="left"/>
      <protection locked="0"/>
    </xf>
    <xf numFmtId="0" fontId="28" fillId="0" borderId="0" xfId="0" applyFont="1" applyFill="1" applyAlignment="1">
      <alignment horizontal="left"/>
    </xf>
    <xf numFmtId="0" fontId="0" fillId="0" borderId="38" xfId="0" applyFill="1" applyBorder="1"/>
    <xf numFmtId="0" fontId="0" fillId="0" borderId="39" xfId="0" applyFill="1" applyBorder="1"/>
    <xf numFmtId="0" fontId="25" fillId="0" borderId="0" xfId="0" applyFont="1" applyFill="1" applyAlignment="1"/>
    <xf numFmtId="0" fontId="0" fillId="0" borderId="0" xfId="0" applyFill="1" applyAlignment="1"/>
    <xf numFmtId="0" fontId="9" fillId="0" borderId="0" xfId="0" applyFont="1" applyFill="1" applyAlignment="1">
      <alignment horizontal="center"/>
    </xf>
    <xf numFmtId="0" fontId="25" fillId="0" borderId="0" xfId="0" applyFont="1" applyFill="1" applyAlignment="1">
      <alignment horizontal="right"/>
    </xf>
    <xf numFmtId="0" fontId="27" fillId="0" borderId="0" xfId="0" applyFont="1" applyFill="1" applyAlignment="1">
      <alignment horizontal="right" vertical="center"/>
    </xf>
    <xf numFmtId="0" fontId="25" fillId="0" borderId="0" xfId="0" applyFont="1" applyFill="1" applyAlignment="1">
      <alignment horizontal="right" vertical="center"/>
    </xf>
    <xf numFmtId="0" fontId="26" fillId="0" borderId="30" xfId="0" applyFont="1" applyFill="1" applyBorder="1" applyAlignment="1">
      <alignment horizontal="center" vertical="center" wrapText="1"/>
    </xf>
    <xf numFmtId="0" fontId="9" fillId="0" borderId="0" xfId="0" applyFont="1" applyFill="1" applyAlignment="1"/>
    <xf numFmtId="164" fontId="57" fillId="0" borderId="0" xfId="0" applyNumberFormat="1" applyFont="1"/>
    <xf numFmtId="0" fontId="0" fillId="22" borderId="0" xfId="0" applyFill="1"/>
    <xf numFmtId="0" fontId="36" fillId="2" borderId="0" xfId="0" applyFont="1" applyFill="1"/>
    <xf numFmtId="0" fontId="7" fillId="11" borderId="37" xfId="0" applyFont="1" applyFill="1" applyBorder="1" applyAlignment="1">
      <alignment horizontal="left"/>
    </xf>
    <xf numFmtId="0" fontId="19" fillId="12" borderId="36" xfId="0" applyFont="1" applyFill="1" applyBorder="1"/>
    <xf numFmtId="0" fontId="33" fillId="11" borderId="37" xfId="0" applyFont="1" applyFill="1" applyBorder="1" applyAlignment="1">
      <alignment horizontal="left" vertical="center"/>
    </xf>
    <xf numFmtId="0" fontId="33" fillId="11" borderId="38" xfId="0" applyFont="1" applyFill="1" applyBorder="1" applyAlignment="1">
      <alignment horizontal="left"/>
    </xf>
    <xf numFmtId="0" fontId="19" fillId="11" borderId="35" xfId="0" applyFont="1" applyFill="1" applyBorder="1" applyAlignment="1"/>
    <xf numFmtId="0" fontId="1" fillId="0" borderId="36" xfId="0" applyFont="1" applyBorder="1" applyAlignment="1"/>
    <xf numFmtId="1" fontId="19" fillId="12" borderId="16" xfId="0" applyNumberFormat="1" applyFont="1" applyFill="1" applyBorder="1" applyAlignment="1">
      <alignment horizontal="center"/>
    </xf>
    <xf numFmtId="0" fontId="0" fillId="0" borderId="17" xfId="0" applyBorder="1" applyAlignment="1"/>
    <xf numFmtId="0" fontId="12" fillId="0" borderId="0" xfId="0" applyFont="1" applyAlignment="1">
      <alignment horizontal="center" vertical="center"/>
    </xf>
    <xf numFmtId="0" fontId="13" fillId="0" borderId="0" xfId="0" applyFont="1" applyAlignment="1">
      <alignment horizontal="center" vertical="center"/>
    </xf>
    <xf numFmtId="0" fontId="12" fillId="7" borderId="6" xfId="0" applyFont="1" applyFill="1" applyBorder="1" applyAlignment="1">
      <alignment horizontal="center" vertical="center"/>
    </xf>
    <xf numFmtId="0" fontId="12" fillId="7" borderId="0" xfId="0" applyFont="1" applyFill="1" applyBorder="1" applyAlignment="1">
      <alignment horizontal="center" vertical="center"/>
    </xf>
    <xf numFmtId="0" fontId="38" fillId="0" borderId="35" xfId="0" applyFont="1" applyBorder="1" applyAlignment="1">
      <alignment horizontal="center"/>
    </xf>
    <xf numFmtId="0" fontId="38" fillId="0" borderId="30" xfId="0" applyFont="1" applyBorder="1" applyAlignment="1">
      <alignment horizontal="center"/>
    </xf>
    <xf numFmtId="0" fontId="38" fillId="0" borderId="36" xfId="0" applyFont="1" applyBorder="1" applyAlignment="1">
      <alignment horizontal="center"/>
    </xf>
    <xf numFmtId="0" fontId="0" fillId="0" borderId="0" xfId="0" applyBorder="1" applyAlignment="1">
      <alignment horizontal="center"/>
    </xf>
    <xf numFmtId="0" fontId="1" fillId="0" borderId="0" xfId="0" applyFont="1" applyAlignment="1">
      <alignment horizontal="center"/>
    </xf>
    <xf numFmtId="0" fontId="1" fillId="0" borderId="0" xfId="0" applyFont="1" applyAlignment="1" applyProtection="1">
      <alignment horizontal="center"/>
      <protection locked="0"/>
    </xf>
    <xf numFmtId="0" fontId="38" fillId="0" borderId="0" xfId="0" applyFont="1" applyAlignment="1" applyProtection="1">
      <alignment horizontal="center"/>
      <protection locked="0"/>
    </xf>
    <xf numFmtId="0" fontId="19" fillId="0" borderId="0" xfId="0" applyFont="1" applyAlignment="1" applyProtection="1">
      <alignment horizontal="center"/>
      <protection locked="0"/>
    </xf>
    <xf numFmtId="0" fontId="0" fillId="0" borderId="0" xfId="0" applyAlignment="1" applyProtection="1">
      <alignment vertical="center" wrapText="1"/>
      <protection locked="0"/>
    </xf>
    <xf numFmtId="0" fontId="38" fillId="0" borderId="0" xfId="0" applyFont="1" applyAlignment="1">
      <alignment horizontal="center"/>
    </xf>
    <xf numFmtId="0" fontId="25" fillId="0" borderId="0" xfId="0" applyFont="1" applyFill="1" applyAlignment="1"/>
    <xf numFmtId="0" fontId="0" fillId="0" borderId="0" xfId="0" applyFill="1" applyAlignment="1"/>
    <xf numFmtId="0" fontId="27" fillId="0" borderId="30" xfId="0" applyFont="1" applyFill="1" applyBorder="1" applyAlignment="1">
      <alignment vertical="center" wrapText="1"/>
    </xf>
    <xf numFmtId="0" fontId="0" fillId="0" borderId="30" xfId="0" applyFill="1" applyBorder="1" applyAlignment="1">
      <alignment vertical="center" wrapText="1"/>
    </xf>
    <xf numFmtId="0" fontId="26" fillId="0" borderId="2" xfId="0" applyFont="1" applyFill="1" applyBorder="1" applyAlignment="1">
      <alignment vertical="center" wrapText="1"/>
    </xf>
    <xf numFmtId="0" fontId="0" fillId="0" borderId="2" xfId="0" applyFill="1" applyBorder="1" applyAlignment="1">
      <alignment vertical="center" wrapText="1"/>
    </xf>
    <xf numFmtId="0" fontId="40" fillId="0" borderId="0" xfId="0" applyFont="1" applyAlignment="1">
      <alignment horizontal="center" vertical="center"/>
    </xf>
    <xf numFmtId="0" fontId="0" fillId="0" borderId="0" xfId="0" applyAlignment="1" applyProtection="1">
      <alignment horizontal="left" vertical="top" wrapText="1"/>
      <protection locked="0"/>
    </xf>
    <xf numFmtId="0" fontId="19" fillId="0" borderId="0" xfId="0" applyFont="1" applyAlignment="1">
      <alignment horizontal="center"/>
    </xf>
    <xf numFmtId="0" fontId="0" fillId="15" borderId="6" xfId="0" applyFill="1" applyBorder="1" applyAlignment="1">
      <alignment horizontal="center" vertical="top" wrapText="1"/>
    </xf>
    <xf numFmtId="0" fontId="7" fillId="10" borderId="24" xfId="0" applyFont="1" applyFill="1" applyBorder="1" applyAlignment="1">
      <alignment horizontal="left" vertical="center" wrapText="1"/>
    </xf>
    <xf numFmtId="0" fontId="7" fillId="10" borderId="60" xfId="0" applyFont="1" applyFill="1" applyBorder="1" applyAlignment="1">
      <alignment horizontal="left" vertical="center" wrapText="1"/>
    </xf>
    <xf numFmtId="0" fontId="7" fillId="10" borderId="25" xfId="0" applyFont="1" applyFill="1" applyBorder="1" applyAlignment="1">
      <alignment horizontal="left" vertical="center" wrapText="1"/>
    </xf>
    <xf numFmtId="0" fontId="7" fillId="0" borderId="61" xfId="0" applyNumberFormat="1" applyFont="1" applyFill="1" applyBorder="1" applyAlignment="1" applyProtection="1">
      <alignment horizontal="left" vertical="center" wrapText="1"/>
      <protection locked="0"/>
    </xf>
    <xf numFmtId="0" fontId="7" fillId="0" borderId="62" xfId="0" applyNumberFormat="1" applyFont="1" applyFill="1" applyBorder="1" applyAlignment="1" applyProtection="1">
      <alignment horizontal="left" vertical="center" wrapText="1"/>
      <protection locked="0"/>
    </xf>
    <xf numFmtId="0" fontId="1" fillId="10" borderId="63" xfId="0" applyFont="1" applyFill="1" applyBorder="1" applyAlignment="1">
      <alignment horizontal="left" vertical="center" wrapText="1"/>
    </xf>
    <xf numFmtId="0" fontId="1" fillId="10" borderId="34" xfId="0" applyFont="1" applyFill="1" applyBorder="1" applyAlignment="1">
      <alignment horizontal="left" vertical="center" wrapText="1"/>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49" fontId="7" fillId="0" borderId="61" xfId="0" applyNumberFormat="1" applyFont="1" applyFill="1" applyBorder="1" applyAlignment="1" applyProtection="1">
      <alignment horizontal="left" vertical="center" wrapText="1"/>
      <protection locked="0"/>
    </xf>
    <xf numFmtId="49" fontId="7" fillId="0" borderId="62" xfId="0" applyNumberFormat="1" applyFont="1" applyFill="1" applyBorder="1" applyAlignment="1" applyProtection="1">
      <alignment horizontal="left" vertical="center" wrapText="1"/>
      <protection locked="0"/>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165" fontId="0" fillId="0" borderId="25" xfId="0" applyNumberFormat="1" applyFont="1" applyFill="1" applyBorder="1" applyAlignment="1" applyProtection="1">
      <alignment horizontal="center" vertical="center"/>
      <protection locked="0"/>
    </xf>
    <xf numFmtId="165" fontId="0" fillId="0" borderId="26" xfId="0" applyNumberFormat="1" applyFont="1" applyFill="1" applyBorder="1" applyAlignment="1" applyProtection="1">
      <alignment horizontal="center" vertical="center"/>
      <protection locked="0"/>
    </xf>
    <xf numFmtId="0" fontId="7" fillId="0" borderId="61" xfId="0" applyNumberFormat="1" applyFont="1" applyFill="1" applyBorder="1" applyAlignment="1" applyProtection="1">
      <alignment horizontal="left" vertical="center"/>
      <protection locked="0"/>
    </xf>
    <xf numFmtId="0" fontId="7" fillId="0" borderId="62" xfId="0" applyNumberFormat="1" applyFont="1" applyFill="1" applyBorder="1" applyAlignment="1" applyProtection="1">
      <alignment horizontal="left" vertical="center"/>
      <protection locked="0"/>
    </xf>
    <xf numFmtId="0" fontId="1" fillId="10" borderId="64" xfId="0" applyFont="1" applyFill="1" applyBorder="1" applyAlignment="1">
      <alignment horizontal="left" vertical="center" wrapText="1"/>
    </xf>
    <xf numFmtId="0" fontId="1" fillId="10" borderId="62" xfId="0" applyFont="1" applyFill="1" applyBorder="1" applyAlignment="1">
      <alignment horizontal="left" vertical="center" wrapText="1"/>
    </xf>
    <xf numFmtId="0" fontId="1" fillId="10" borderId="60" xfId="0" applyFont="1" applyFill="1" applyBorder="1" applyAlignment="1">
      <alignment horizontal="left" vertical="center" wrapText="1"/>
    </xf>
    <xf numFmtId="10" fontId="0" fillId="0" borderId="61" xfId="0" applyNumberFormat="1" applyFont="1" applyBorder="1" applyAlignment="1" applyProtection="1">
      <alignment horizontal="center" vertical="center"/>
      <protection locked="0"/>
    </xf>
    <xf numFmtId="0" fontId="0" fillId="0" borderId="62" xfId="0" applyNumberFormat="1" applyFont="1" applyBorder="1" applyAlignment="1" applyProtection="1">
      <alignment horizontal="center" vertical="center"/>
      <protection locked="0"/>
    </xf>
    <xf numFmtId="0" fontId="0" fillId="0" borderId="44" xfId="0" applyNumberFormat="1" applyFont="1" applyBorder="1" applyAlignment="1" applyProtection="1">
      <alignment horizontal="center" vertical="center"/>
      <protection locked="0"/>
    </xf>
    <xf numFmtId="0" fontId="7" fillId="10" borderId="54" xfId="0" applyFont="1" applyFill="1" applyBorder="1" applyAlignment="1">
      <alignment horizontal="left" vertical="center" wrapText="1"/>
    </xf>
    <xf numFmtId="0" fontId="7" fillId="10" borderId="55" xfId="0" applyFont="1" applyFill="1" applyBorder="1" applyAlignment="1">
      <alignment horizontal="left" vertical="center" wrapText="1"/>
    </xf>
    <xf numFmtId="0" fontId="7" fillId="10" borderId="56" xfId="0" applyFont="1" applyFill="1" applyBorder="1" applyAlignment="1">
      <alignment horizontal="left" vertical="center" wrapText="1"/>
    </xf>
    <xf numFmtId="1" fontId="7" fillId="0" borderId="57" xfId="0" applyNumberFormat="1" applyFont="1" applyFill="1" applyBorder="1" applyAlignment="1" applyProtection="1">
      <alignment horizontal="left" vertical="center"/>
      <protection locked="0"/>
    </xf>
    <xf numFmtId="1" fontId="7" fillId="0" borderId="58" xfId="0" applyNumberFormat="1" applyFont="1" applyFill="1" applyBorder="1" applyAlignment="1" applyProtection="1">
      <alignment horizontal="left" vertical="center"/>
      <protection locked="0"/>
    </xf>
    <xf numFmtId="0" fontId="1" fillId="10" borderId="54" xfId="0" applyFont="1" applyFill="1" applyBorder="1" applyAlignment="1">
      <alignment horizontal="left" vertical="center" wrapText="1"/>
    </xf>
    <xf numFmtId="0" fontId="1" fillId="10" borderId="56" xfId="0" applyFont="1" applyFill="1" applyBorder="1" applyAlignment="1">
      <alignment horizontal="left" vertical="center" wrapText="1"/>
    </xf>
    <xf numFmtId="177" fontId="0" fillId="0" borderId="56" xfId="0" applyNumberFormat="1" applyFont="1" applyFill="1" applyBorder="1" applyAlignment="1" applyProtection="1">
      <alignment horizontal="center" vertical="center"/>
      <protection locked="0"/>
    </xf>
    <xf numFmtId="177" fontId="0" fillId="0" borderId="59" xfId="0" applyNumberFormat="1" applyFont="1" applyFill="1" applyBorder="1" applyAlignment="1" applyProtection="1">
      <alignment horizontal="center" vertical="center"/>
      <protection locked="0"/>
    </xf>
    <xf numFmtId="0" fontId="1" fillId="10" borderId="57" xfId="0" applyFont="1" applyFill="1" applyBorder="1" applyAlignment="1">
      <alignment horizontal="left" vertical="center" wrapText="1"/>
    </xf>
    <xf numFmtId="0" fontId="1" fillId="10" borderId="58" xfId="0" applyFont="1" applyFill="1" applyBorder="1" applyAlignment="1">
      <alignment horizontal="left" vertical="center" wrapText="1"/>
    </xf>
    <xf numFmtId="0" fontId="1" fillId="17" borderId="34" xfId="0" applyFont="1" applyFill="1" applyBorder="1" applyAlignment="1">
      <alignment horizontal="left" vertical="center" wrapText="1"/>
    </xf>
    <xf numFmtId="14" fontId="1" fillId="2" borderId="34" xfId="0" applyNumberFormat="1" applyFont="1" applyFill="1" applyBorder="1" applyAlignment="1" applyProtection="1">
      <alignment horizontal="center" vertical="center" wrapText="1"/>
      <protection locked="0"/>
    </xf>
    <xf numFmtId="178" fontId="1" fillId="17" borderId="34" xfId="0" applyNumberFormat="1" applyFont="1" applyFill="1" applyBorder="1" applyAlignment="1">
      <alignment horizontal="left" vertical="center" wrapText="1"/>
    </xf>
    <xf numFmtId="178" fontId="1" fillId="2" borderId="34" xfId="0" applyNumberFormat="1" applyFont="1" applyFill="1" applyBorder="1" applyAlignment="1" applyProtection="1">
      <alignment horizontal="center" vertical="center" wrapText="1"/>
      <protection locked="0"/>
    </xf>
    <xf numFmtId="0" fontId="7" fillId="10" borderId="65" xfId="0" applyFont="1" applyFill="1" applyBorder="1" applyAlignment="1">
      <alignment horizontal="left" vertical="center" wrapText="1"/>
    </xf>
    <xf numFmtId="0" fontId="7" fillId="10" borderId="66" xfId="0" applyFont="1" applyFill="1" applyBorder="1" applyAlignment="1">
      <alignment horizontal="left" vertical="center" wrapText="1"/>
    </xf>
    <xf numFmtId="0" fontId="7" fillId="10" borderId="67" xfId="0" applyFont="1" applyFill="1" applyBorder="1" applyAlignment="1">
      <alignment horizontal="left" vertical="center" wrapText="1"/>
    </xf>
    <xf numFmtId="0" fontId="0" fillId="0" borderId="68" xfId="0" applyNumberFormat="1" applyFont="1" applyFill="1" applyBorder="1" applyAlignment="1" applyProtection="1">
      <alignment horizontal="left" vertical="center"/>
      <protection locked="0"/>
    </xf>
    <xf numFmtId="0" fontId="0" fillId="0" borderId="69" xfId="0" applyNumberFormat="1" applyFont="1" applyFill="1" applyBorder="1" applyAlignment="1" applyProtection="1">
      <alignment horizontal="left" vertical="center"/>
      <protection locked="0"/>
    </xf>
    <xf numFmtId="0" fontId="1" fillId="16" borderId="70" xfId="0" applyFont="1" applyFill="1" applyBorder="1" applyAlignment="1">
      <alignment horizontal="left" vertical="center" wrapText="1"/>
    </xf>
    <xf numFmtId="0" fontId="1" fillId="16" borderId="69" xfId="0" applyFont="1" applyFill="1" applyBorder="1" applyAlignment="1">
      <alignment horizontal="left" vertical="center" wrapText="1"/>
    </xf>
    <xf numFmtId="0" fontId="1" fillId="16" borderId="66" xfId="0" applyFont="1" applyFill="1" applyBorder="1" applyAlignment="1">
      <alignment horizontal="left" vertical="center" wrapText="1"/>
    </xf>
    <xf numFmtId="165" fontId="0" fillId="16" borderId="68" xfId="0" applyNumberFormat="1" applyFont="1" applyFill="1" applyBorder="1" applyAlignment="1" applyProtection="1">
      <alignment horizontal="center" vertical="center"/>
      <protection locked="0"/>
    </xf>
    <xf numFmtId="165" fontId="0" fillId="16" borderId="69" xfId="0" applyNumberFormat="1" applyFont="1" applyFill="1" applyBorder="1" applyAlignment="1" applyProtection="1">
      <alignment horizontal="center" vertical="center"/>
      <protection locked="0"/>
    </xf>
    <xf numFmtId="165" fontId="0" fillId="16" borderId="71" xfId="0" applyNumberFormat="1" applyFont="1" applyFill="1" applyBorder="1" applyAlignment="1" applyProtection="1">
      <alignment horizontal="center" vertical="center"/>
      <protection locked="0"/>
    </xf>
    <xf numFmtId="0" fontId="0" fillId="0" borderId="4" xfId="0" applyFont="1" applyBorder="1" applyAlignment="1">
      <alignment horizontal="center"/>
    </xf>
    <xf numFmtId="0" fontId="0" fillId="0" borderId="17" xfId="0" applyFont="1" applyBorder="1" applyAlignment="1">
      <alignment horizontal="center"/>
    </xf>
    <xf numFmtId="0" fontId="1" fillId="10" borderId="18" xfId="0" applyFont="1" applyFill="1" applyBorder="1" applyAlignment="1">
      <alignment horizontal="center" vertical="center"/>
    </xf>
    <xf numFmtId="0" fontId="1" fillId="10" borderId="72" xfId="0" applyFont="1" applyFill="1" applyBorder="1" applyAlignment="1">
      <alignment horizontal="center" vertical="center"/>
    </xf>
    <xf numFmtId="0" fontId="1" fillId="10" borderId="19" xfId="0" applyFont="1" applyFill="1" applyBorder="1" applyAlignment="1">
      <alignment horizontal="center" vertical="center"/>
    </xf>
    <xf numFmtId="0" fontId="0" fillId="10" borderId="61" xfId="0" applyFill="1" applyBorder="1" applyAlignment="1">
      <alignment horizontal="left" vertical="center"/>
    </xf>
    <xf numFmtId="0" fontId="0" fillId="10" borderId="62" xfId="0" applyFill="1" applyBorder="1" applyAlignment="1">
      <alignment horizontal="left" vertical="center"/>
    </xf>
    <xf numFmtId="0" fontId="0" fillId="10" borderId="60" xfId="0" applyFill="1" applyBorder="1" applyAlignment="1">
      <alignment horizontal="left" vertical="center"/>
    </xf>
    <xf numFmtId="178" fontId="0" fillId="0" borderId="73" xfId="0" applyNumberFormat="1" applyFont="1" applyFill="1" applyBorder="1" applyAlignment="1" applyProtection="1">
      <alignment horizontal="center" vertical="center"/>
      <protection locked="0"/>
    </xf>
    <xf numFmtId="178" fontId="0" fillId="0" borderId="74" xfId="0" applyNumberFormat="1" applyFont="1" applyFill="1" applyBorder="1" applyAlignment="1" applyProtection="1">
      <alignment horizontal="center" vertical="center"/>
      <protection locked="0"/>
    </xf>
    <xf numFmtId="178" fontId="0" fillId="17" borderId="25" xfId="0" applyNumberFormat="1" applyFont="1" applyFill="1" applyBorder="1" applyAlignment="1">
      <alignment horizontal="left" vertical="center"/>
    </xf>
    <xf numFmtId="2" fontId="0" fillId="0" borderId="25" xfId="0" applyNumberFormat="1" applyFont="1" applyFill="1" applyBorder="1" applyAlignment="1" applyProtection="1">
      <alignment horizontal="center" vertical="center"/>
      <protection locked="0"/>
    </xf>
    <xf numFmtId="0" fontId="1" fillId="10" borderId="25" xfId="0" applyFont="1" applyFill="1" applyBorder="1" applyAlignment="1">
      <alignment horizontal="left" vertical="center"/>
    </xf>
    <xf numFmtId="0" fontId="0" fillId="0" borderId="25" xfId="0" applyFont="1" applyFill="1" applyBorder="1" applyAlignment="1" applyProtection="1">
      <alignment horizontal="left" vertical="center" wrapText="1"/>
      <protection locked="0"/>
    </xf>
    <xf numFmtId="0" fontId="1" fillId="17" borderId="25" xfId="0" applyFont="1" applyFill="1" applyBorder="1" applyAlignment="1">
      <alignment horizontal="left" vertical="center" wrapText="1"/>
    </xf>
    <xf numFmtId="0" fontId="0" fillId="17" borderId="25" xfId="0" applyFont="1" applyFill="1" applyBorder="1" applyAlignment="1">
      <alignment horizontal="right" vertical="center" wrapText="1"/>
    </xf>
    <xf numFmtId="14" fontId="1" fillId="2" borderId="25" xfId="0" applyNumberFormat="1" applyFont="1" applyFill="1" applyBorder="1" applyAlignment="1" applyProtection="1">
      <alignment horizontal="center" vertical="center" wrapText="1"/>
      <protection locked="0"/>
    </xf>
    <xf numFmtId="14" fontId="1" fillId="2" borderId="61" xfId="0" applyNumberFormat="1" applyFont="1" applyFill="1" applyBorder="1" applyAlignment="1" applyProtection="1">
      <alignment horizontal="center" vertical="center"/>
      <protection locked="0"/>
    </xf>
    <xf numFmtId="14" fontId="1" fillId="2" borderId="60" xfId="0" applyNumberFormat="1" applyFont="1" applyFill="1" applyBorder="1" applyAlignment="1" applyProtection="1">
      <alignment horizontal="center" vertical="center"/>
      <protection locked="0"/>
    </xf>
    <xf numFmtId="14" fontId="0" fillId="2" borderId="25" xfId="0" applyNumberFormat="1" applyFont="1" applyFill="1" applyBorder="1" applyAlignment="1" applyProtection="1">
      <alignment horizontal="center" vertical="center"/>
      <protection locked="0"/>
    </xf>
    <xf numFmtId="178" fontId="1" fillId="10" borderId="24" xfId="0" applyNumberFormat="1" applyFont="1" applyFill="1" applyBorder="1" applyAlignment="1">
      <alignment horizontal="center" vertical="center" wrapText="1"/>
    </xf>
    <xf numFmtId="178" fontId="1" fillId="10" borderId="25" xfId="0" applyNumberFormat="1" applyFont="1" applyFill="1" applyBorder="1" applyAlignment="1">
      <alignment horizontal="center" vertical="center" wrapText="1"/>
    </xf>
    <xf numFmtId="178" fontId="1" fillId="10" borderId="81" xfId="0" applyNumberFormat="1" applyFont="1" applyFill="1" applyBorder="1" applyAlignment="1">
      <alignment horizontal="center" vertical="center" wrapText="1"/>
    </xf>
    <xf numFmtId="178" fontId="1" fillId="10" borderId="82" xfId="0" applyNumberFormat="1" applyFont="1" applyFill="1" applyBorder="1" applyAlignment="1">
      <alignment horizontal="center" vertical="center" wrapText="1"/>
    </xf>
    <xf numFmtId="178" fontId="0" fillId="10" borderId="25" xfId="0" applyNumberFormat="1" applyFont="1" applyFill="1" applyBorder="1" applyAlignment="1">
      <alignment horizontal="left" vertical="center"/>
    </xf>
    <xf numFmtId="0" fontId="0" fillId="0" borderId="23"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10" borderId="25" xfId="0" applyFill="1" applyBorder="1" applyAlignment="1">
      <alignment horizontal="left" vertical="center"/>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80" xfId="0" applyFont="1" applyFill="1" applyBorder="1" applyAlignment="1" applyProtection="1">
      <alignment horizontal="center" vertical="center"/>
      <protection locked="0"/>
    </xf>
    <xf numFmtId="0" fontId="1" fillId="10" borderId="24" xfId="0" applyFont="1" applyFill="1" applyBorder="1" applyAlignment="1">
      <alignment horizontal="center" vertical="center" wrapText="1"/>
    </xf>
    <xf numFmtId="0" fontId="1" fillId="10" borderId="25" xfId="0" applyFont="1" applyFill="1" applyBorder="1" applyAlignment="1">
      <alignment horizontal="center" vertical="center" wrapText="1"/>
    </xf>
    <xf numFmtId="0" fontId="0" fillId="10" borderId="82" xfId="0" applyFont="1" applyFill="1" applyBorder="1" applyAlignment="1">
      <alignment horizontal="left" vertical="center"/>
    </xf>
    <xf numFmtId="0" fontId="0" fillId="0" borderId="83" xfId="0" applyFont="1" applyFill="1" applyBorder="1" applyAlignment="1" applyProtection="1">
      <alignment horizontal="center" vertical="center"/>
      <protection locked="0"/>
    </xf>
    <xf numFmtId="0" fontId="0" fillId="0" borderId="84" xfId="0" applyFont="1" applyFill="1" applyBorder="1" applyAlignment="1" applyProtection="1">
      <alignment horizontal="center" vertical="center"/>
      <protection locked="0"/>
    </xf>
    <xf numFmtId="2" fontId="0" fillId="15" borderId="83" xfId="0" applyNumberFormat="1" applyFont="1" applyFill="1" applyBorder="1" applyAlignment="1" applyProtection="1">
      <alignment horizontal="center" vertical="center"/>
      <protection locked="0"/>
    </xf>
    <xf numFmtId="2" fontId="0" fillId="15" borderId="84" xfId="0" applyNumberFormat="1" applyFont="1" applyFill="1" applyBorder="1" applyAlignment="1" applyProtection="1">
      <alignment horizontal="center" vertical="center"/>
      <protection locked="0"/>
    </xf>
    <xf numFmtId="2" fontId="0" fillId="15" borderId="95" xfId="0" applyNumberFormat="1" applyFont="1" applyFill="1" applyBorder="1" applyAlignment="1" applyProtection="1">
      <alignment horizontal="center" vertical="center"/>
      <protection locked="0"/>
    </xf>
    <xf numFmtId="2" fontId="0" fillId="15" borderId="96" xfId="0" applyNumberFormat="1" applyFont="1" applyFill="1" applyBorder="1" applyAlignment="1" applyProtection="1">
      <alignment horizontal="center" vertical="center"/>
      <protection locked="0"/>
    </xf>
    <xf numFmtId="2" fontId="0" fillId="15" borderId="97" xfId="0" applyNumberFormat="1" applyFont="1" applyFill="1" applyBorder="1" applyAlignment="1" applyProtection="1">
      <alignment horizontal="center" vertical="center"/>
      <protection locked="0"/>
    </xf>
    <xf numFmtId="0" fontId="0" fillId="15" borderId="98" xfId="0" applyNumberFormat="1" applyFont="1" applyFill="1" applyBorder="1" applyAlignment="1">
      <alignment horizontal="right" vertical="center"/>
    </xf>
    <xf numFmtId="0" fontId="0" fillId="15" borderId="1" xfId="0" applyNumberFormat="1" applyFont="1" applyFill="1" applyBorder="1" applyAlignment="1">
      <alignment horizontal="right" vertical="center"/>
    </xf>
    <xf numFmtId="0" fontId="0" fillId="15" borderId="99" xfId="0" applyNumberFormat="1" applyFont="1" applyFill="1" applyBorder="1" applyAlignment="1">
      <alignment horizontal="right" vertical="center"/>
    </xf>
    <xf numFmtId="2" fontId="0" fillId="15" borderId="100" xfId="0" applyNumberFormat="1" applyFont="1" applyFill="1" applyBorder="1" applyAlignment="1" applyProtection="1">
      <alignment horizontal="center" vertical="center"/>
    </xf>
    <xf numFmtId="2" fontId="0" fillId="15" borderId="101" xfId="0" applyNumberFormat="1" applyFont="1" applyFill="1" applyBorder="1" applyAlignment="1" applyProtection="1">
      <alignment horizontal="center" vertical="center"/>
    </xf>
    <xf numFmtId="2" fontId="0" fillId="15" borderId="102" xfId="0" applyNumberFormat="1" applyFont="1" applyFill="1" applyBorder="1" applyAlignment="1" applyProtection="1">
      <alignment horizontal="center" vertical="center"/>
    </xf>
    <xf numFmtId="2" fontId="0" fillId="15" borderId="62" xfId="0" applyNumberFormat="1" applyFont="1" applyFill="1" applyBorder="1" applyAlignment="1" applyProtection="1">
      <alignment horizontal="center" vertical="center"/>
    </xf>
    <xf numFmtId="2" fontId="0" fillId="15" borderId="103" xfId="0" applyNumberFormat="1" applyFont="1" applyFill="1" applyBorder="1" applyAlignment="1" applyProtection="1">
      <alignment horizontal="center" vertical="center"/>
    </xf>
    <xf numFmtId="2" fontId="0" fillId="15" borderId="104" xfId="0" applyNumberFormat="1" applyFont="1" applyFill="1" applyBorder="1" applyAlignment="1" applyProtection="1">
      <alignment horizontal="center" vertical="center"/>
    </xf>
    <xf numFmtId="49" fontId="0" fillId="0" borderId="9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15" borderId="6" xfId="0" applyNumberFormat="1" applyFont="1" applyFill="1" applyBorder="1" applyAlignment="1">
      <alignment horizontal="right" vertical="center"/>
    </xf>
    <xf numFmtId="0" fontId="0" fillId="15" borderId="0" xfId="0" applyNumberFormat="1" applyFont="1" applyFill="1" applyBorder="1" applyAlignment="1">
      <alignment horizontal="right" vertical="center"/>
    </xf>
    <xf numFmtId="0" fontId="0" fillId="15" borderId="49" xfId="0" applyNumberFormat="1" applyFont="1" applyFill="1" applyBorder="1" applyAlignment="1">
      <alignment horizontal="right" vertical="center"/>
    </xf>
    <xf numFmtId="2" fontId="0" fillId="15" borderId="89" xfId="0" applyNumberFormat="1" applyFont="1" applyFill="1" applyBorder="1" applyAlignment="1" applyProtection="1">
      <alignment horizontal="center" vertical="center"/>
      <protection locked="0"/>
    </xf>
    <xf numFmtId="2" fontId="0" fillId="15" borderId="90" xfId="0" applyNumberFormat="1" applyFont="1" applyFill="1" applyBorder="1" applyAlignment="1" applyProtection="1">
      <alignment horizontal="center" vertical="center"/>
      <protection locked="0"/>
    </xf>
    <xf numFmtId="2" fontId="0" fillId="15" borderId="91" xfId="0" applyNumberFormat="1" applyFont="1" applyFill="1" applyBorder="1" applyAlignment="1" applyProtection="1">
      <alignment horizontal="center" vertical="center"/>
      <protection locked="0"/>
    </xf>
    <xf numFmtId="2" fontId="0" fillId="15" borderId="92" xfId="0" applyNumberFormat="1" applyFont="1" applyFill="1" applyBorder="1" applyAlignment="1" applyProtection="1">
      <alignment horizontal="center" vertical="center"/>
      <protection locked="0"/>
    </xf>
    <xf numFmtId="2" fontId="0" fillId="15" borderId="93" xfId="0" applyNumberFormat="1" applyFont="1" applyFill="1" applyBorder="1" applyAlignment="1" applyProtection="1">
      <alignment horizontal="center" vertical="center"/>
      <protection locked="0"/>
    </xf>
    <xf numFmtId="0" fontId="0" fillId="15" borderId="23" xfId="0" applyFont="1" applyFill="1" applyBorder="1" applyAlignment="1" applyProtection="1">
      <alignment horizontal="center" vertical="center"/>
      <protection locked="0"/>
    </xf>
    <xf numFmtId="0" fontId="0" fillId="15" borderId="46" xfId="0" applyFont="1" applyFill="1" applyBorder="1" applyAlignment="1" applyProtection="1">
      <alignment horizontal="center" vertical="center"/>
      <protection locked="0"/>
    </xf>
    <xf numFmtId="2" fontId="0" fillId="15" borderId="73" xfId="0" applyNumberFormat="1" applyFont="1" applyFill="1" applyBorder="1" applyAlignment="1" applyProtection="1">
      <alignment horizontal="center" vertical="center"/>
      <protection locked="0"/>
    </xf>
    <xf numFmtId="2" fontId="0" fillId="15" borderId="74" xfId="0" applyNumberFormat="1" applyFont="1" applyFill="1" applyBorder="1" applyAlignment="1" applyProtection="1">
      <alignment horizontal="center" vertical="center"/>
      <protection locked="0"/>
    </xf>
    <xf numFmtId="2" fontId="0" fillId="15" borderId="75" xfId="0" applyNumberFormat="1" applyFont="1" applyFill="1" applyBorder="1" applyAlignment="1" applyProtection="1">
      <alignment horizontal="center" vertical="center"/>
      <protection locked="0"/>
    </xf>
    <xf numFmtId="2" fontId="0" fillId="15" borderId="88" xfId="0" applyNumberFormat="1" applyFont="1" applyFill="1" applyBorder="1" applyAlignment="1" applyProtection="1">
      <alignment horizontal="center" vertical="center"/>
      <protection locked="0"/>
    </xf>
    <xf numFmtId="2" fontId="0" fillId="15" borderId="76" xfId="0" applyNumberFormat="1" applyFont="1" applyFill="1" applyBorder="1" applyAlignment="1" applyProtection="1">
      <alignment horizontal="center" vertical="center"/>
      <protection locked="0"/>
    </xf>
    <xf numFmtId="0" fontId="1" fillId="15" borderId="85" xfId="0" applyNumberFormat="1" applyFont="1" applyFill="1" applyBorder="1" applyAlignment="1">
      <alignment horizontal="left" vertical="center"/>
    </xf>
    <xf numFmtId="0" fontId="1" fillId="15" borderId="86" xfId="0" applyNumberFormat="1" applyFont="1" applyFill="1" applyBorder="1" applyAlignment="1">
      <alignment horizontal="left" vertical="center"/>
    </xf>
    <xf numFmtId="0" fontId="1" fillId="15" borderId="87" xfId="0" applyNumberFormat="1" applyFont="1" applyFill="1" applyBorder="1" applyAlignment="1">
      <alignment horizontal="left" vertical="center"/>
    </xf>
    <xf numFmtId="0" fontId="0" fillId="15" borderId="62" xfId="0" applyNumberFormat="1" applyFont="1" applyFill="1" applyBorder="1" applyAlignment="1">
      <alignment horizontal="center" vertical="center"/>
    </xf>
    <xf numFmtId="0" fontId="0" fillId="15" borderId="60" xfId="0" applyNumberFormat="1" applyFont="1" applyFill="1" applyBorder="1" applyAlignment="1">
      <alignment horizontal="center" vertical="center"/>
    </xf>
    <xf numFmtId="0" fontId="0" fillId="15" borderId="22" xfId="0" applyFont="1" applyFill="1" applyBorder="1" applyAlignment="1" applyProtection="1">
      <alignment horizontal="center" vertical="center"/>
      <protection locked="0"/>
    </xf>
    <xf numFmtId="0" fontId="0" fillId="15" borderId="49" xfId="0" applyFont="1" applyFill="1" applyBorder="1" applyAlignment="1" applyProtection="1">
      <alignment horizontal="center" vertical="center"/>
      <protection locked="0"/>
    </xf>
    <xf numFmtId="0" fontId="0" fillId="15" borderId="99" xfId="0" applyFont="1" applyFill="1" applyBorder="1" applyAlignment="1" applyProtection="1">
      <alignment horizontal="center" vertical="center"/>
      <protection locked="0"/>
    </xf>
    <xf numFmtId="0" fontId="0" fillId="0" borderId="79" xfId="0" applyFont="1" applyBorder="1" applyAlignment="1" applyProtection="1">
      <alignment horizontal="center"/>
      <protection locked="0"/>
    </xf>
    <xf numFmtId="0" fontId="0" fillId="0" borderId="77" xfId="0" applyFont="1" applyBorder="1" applyAlignment="1" applyProtection="1">
      <alignment horizontal="center"/>
      <protection locked="0"/>
    </xf>
    <xf numFmtId="0" fontId="0" fillId="0" borderId="78" xfId="0" applyFont="1" applyBorder="1" applyAlignment="1" applyProtection="1">
      <alignment horizontal="center"/>
      <protection locked="0"/>
    </xf>
    <xf numFmtId="178" fontId="0" fillId="0" borderId="78" xfId="0" applyNumberFormat="1" applyFont="1" applyFill="1" applyBorder="1" applyAlignment="1" applyProtection="1">
      <alignment horizontal="center" vertical="center"/>
      <protection locked="0"/>
    </xf>
    <xf numFmtId="178" fontId="0" fillId="0" borderId="80" xfId="0" applyNumberFormat="1" applyFont="1" applyFill="1" applyBorder="1" applyAlignment="1" applyProtection="1">
      <alignment horizontal="center" vertical="center"/>
      <protection locked="0"/>
    </xf>
    <xf numFmtId="0" fontId="0" fillId="10" borderId="85" xfId="0" applyFont="1" applyFill="1" applyBorder="1" applyAlignment="1">
      <alignment horizontal="left" vertical="center" wrapText="1"/>
    </xf>
    <xf numFmtId="0" fontId="0" fillId="10" borderId="86" xfId="0" applyFont="1" applyFill="1" applyBorder="1" applyAlignment="1">
      <alignment horizontal="left" vertical="center" wrapText="1"/>
    </xf>
    <xf numFmtId="0" fontId="0" fillId="10" borderId="87" xfId="0" applyFont="1" applyFill="1" applyBorder="1" applyAlignment="1">
      <alignment horizontal="left" vertical="center" wrapText="1"/>
    </xf>
    <xf numFmtId="0" fontId="0" fillId="10" borderId="6" xfId="0" applyFont="1" applyFill="1" applyBorder="1" applyAlignment="1">
      <alignment horizontal="left" vertical="center" wrapText="1"/>
    </xf>
    <xf numFmtId="0" fontId="0" fillId="10" borderId="0" xfId="0" applyFont="1" applyFill="1" applyBorder="1" applyAlignment="1">
      <alignment horizontal="left" vertical="center" wrapText="1"/>
    </xf>
    <xf numFmtId="0" fontId="0" fillId="10" borderId="49" xfId="0" applyFont="1" applyFill="1" applyBorder="1" applyAlignment="1">
      <alignment horizontal="left" vertical="center" wrapText="1"/>
    </xf>
    <xf numFmtId="0" fontId="0" fillId="10" borderId="98" xfId="0" applyFont="1" applyFill="1" applyBorder="1" applyAlignment="1">
      <alignment horizontal="left" vertical="center" wrapText="1"/>
    </xf>
    <xf numFmtId="0" fontId="0" fillId="10" borderId="1" xfId="0" applyFont="1" applyFill="1" applyBorder="1" applyAlignment="1">
      <alignment horizontal="left" vertical="center" wrapText="1"/>
    </xf>
    <xf numFmtId="0" fontId="0" fillId="10" borderId="99" xfId="0" applyFont="1" applyFill="1" applyBorder="1" applyAlignment="1">
      <alignment horizontal="left" vertical="center" wrapText="1"/>
    </xf>
    <xf numFmtId="0" fontId="0" fillId="10" borderId="25" xfId="0" applyFont="1" applyFill="1" applyBorder="1" applyAlignment="1">
      <alignment horizontal="left" vertical="center" wrapText="1"/>
    </xf>
    <xf numFmtId="178" fontId="0" fillId="0" borderId="105" xfId="0" applyNumberFormat="1" applyFont="1" applyFill="1" applyBorder="1" applyAlignment="1" applyProtection="1">
      <alignment horizontal="center" vertical="center"/>
      <protection locked="0"/>
    </xf>
    <xf numFmtId="178" fontId="0" fillId="0" borderId="75" xfId="0" applyNumberFormat="1" applyFont="1" applyFill="1" applyBorder="1" applyAlignment="1" applyProtection="1">
      <alignment horizontal="center" vertical="center"/>
      <protection locked="0"/>
    </xf>
    <xf numFmtId="178" fontId="0" fillId="0" borderId="74" xfId="0" applyNumberFormat="1" applyFont="1" applyBorder="1" applyAlignment="1" applyProtection="1">
      <alignment horizontal="center"/>
      <protection locked="0"/>
    </xf>
    <xf numFmtId="0" fontId="0" fillId="0" borderId="74" xfId="0" applyFont="1" applyBorder="1" applyAlignment="1" applyProtection="1">
      <alignment horizontal="center"/>
      <protection locked="0"/>
    </xf>
    <xf numFmtId="178" fontId="0" fillId="0" borderId="106" xfId="0" applyNumberFormat="1" applyFont="1" applyFill="1" applyBorder="1" applyAlignment="1" applyProtection="1">
      <alignment horizontal="center" vertical="center"/>
      <protection locked="0"/>
    </xf>
    <xf numFmtId="178" fontId="0" fillId="0" borderId="90" xfId="0" applyNumberFormat="1" applyFont="1" applyFill="1" applyBorder="1" applyAlignment="1" applyProtection="1">
      <alignment horizontal="center" vertical="center"/>
      <protection locked="0"/>
    </xf>
    <xf numFmtId="0" fontId="0" fillId="0" borderId="90" xfId="0" applyFont="1" applyBorder="1" applyAlignment="1" applyProtection="1">
      <alignment horizontal="center"/>
      <protection locked="0"/>
    </xf>
    <xf numFmtId="178" fontId="0" fillId="0" borderId="93" xfId="0" applyNumberFormat="1" applyFont="1" applyFill="1" applyBorder="1" applyAlignment="1" applyProtection="1">
      <alignment horizontal="center" vertical="center"/>
      <protection locked="0"/>
    </xf>
    <xf numFmtId="49" fontId="0" fillId="0" borderId="78" xfId="0" applyNumberFormat="1" applyFont="1" applyFill="1" applyBorder="1" applyAlignment="1" applyProtection="1">
      <alignment horizontal="center" vertical="center"/>
      <protection locked="0"/>
    </xf>
    <xf numFmtId="0" fontId="1" fillId="15" borderId="24" xfId="0" applyFont="1" applyFill="1" applyBorder="1" applyAlignment="1">
      <alignment horizontal="center" vertical="center" wrapText="1"/>
    </xf>
    <xf numFmtId="0" fontId="1" fillId="15" borderId="25" xfId="0" applyFont="1" applyFill="1" applyBorder="1" applyAlignment="1">
      <alignment horizontal="center" vertical="center" wrapText="1"/>
    </xf>
    <xf numFmtId="0" fontId="0" fillId="15" borderId="25" xfId="0" applyFont="1" applyFill="1" applyBorder="1" applyAlignment="1">
      <alignment horizontal="left" vertical="center" wrapText="1"/>
    </xf>
    <xf numFmtId="0" fontId="0" fillId="0" borderId="91" xfId="0" applyFont="1" applyBorder="1" applyAlignment="1" applyProtection="1">
      <alignment horizontal="center"/>
      <protection locked="0"/>
    </xf>
    <xf numFmtId="0" fontId="0" fillId="0" borderId="89" xfId="0" applyFont="1" applyBorder="1" applyAlignment="1" applyProtection="1">
      <alignment horizontal="center"/>
      <protection locked="0"/>
    </xf>
    <xf numFmtId="0" fontId="0" fillId="15" borderId="47" xfId="0" applyFont="1" applyFill="1" applyBorder="1" applyAlignment="1" applyProtection="1">
      <alignment horizontal="center" vertical="center"/>
      <protection locked="0"/>
    </xf>
    <xf numFmtId="0" fontId="0" fillId="15" borderId="77" xfId="0" applyFont="1" applyFill="1" applyBorder="1" applyAlignment="1" applyProtection="1">
      <alignment horizontal="center" vertical="center"/>
      <protection locked="0"/>
    </xf>
    <xf numFmtId="0" fontId="0" fillId="15" borderId="78" xfId="0" applyFont="1" applyFill="1" applyBorder="1" applyAlignment="1" applyProtection="1">
      <alignment horizontal="center" vertical="center"/>
      <protection locked="0"/>
    </xf>
    <xf numFmtId="0" fontId="0" fillId="15" borderId="79" xfId="0" applyFont="1" applyFill="1" applyBorder="1" applyAlignment="1" applyProtection="1">
      <alignment horizontal="center" vertical="center"/>
      <protection locked="0"/>
    </xf>
    <xf numFmtId="0" fontId="0" fillId="15" borderId="82" xfId="0" applyFont="1" applyFill="1" applyBorder="1" applyAlignment="1" applyProtection="1">
      <alignment horizontal="center" vertical="center"/>
      <protection locked="0"/>
    </xf>
    <xf numFmtId="0" fontId="0" fillId="15" borderId="34" xfId="0" applyFont="1" applyFill="1" applyBorder="1" applyAlignment="1" applyProtection="1">
      <alignment horizontal="center" vertical="center"/>
      <protection locked="0"/>
    </xf>
    <xf numFmtId="0" fontId="0" fillId="15" borderId="80" xfId="0" applyFont="1" applyFill="1" applyBorder="1" applyAlignment="1" applyProtection="1">
      <alignment horizontal="center" vertical="center"/>
      <protection locked="0"/>
    </xf>
    <xf numFmtId="0" fontId="1" fillId="15" borderId="85" xfId="0" applyFont="1" applyFill="1" applyBorder="1" applyAlignment="1">
      <alignment horizontal="center" vertical="center"/>
    </xf>
    <xf numFmtId="0" fontId="1" fillId="15" borderId="86" xfId="0" applyFont="1" applyFill="1" applyBorder="1" applyAlignment="1">
      <alignment horizontal="center" vertical="center"/>
    </xf>
    <xf numFmtId="0" fontId="1" fillId="15" borderId="87" xfId="0" applyFont="1" applyFill="1" applyBorder="1" applyAlignment="1">
      <alignment horizontal="center" vertical="center"/>
    </xf>
    <xf numFmtId="0" fontId="1" fillId="15" borderId="98" xfId="0" applyFont="1" applyFill="1" applyBorder="1" applyAlignment="1">
      <alignment horizontal="center" vertical="center"/>
    </xf>
    <xf numFmtId="0" fontId="1" fillId="15" borderId="1" xfId="0" applyFont="1" applyFill="1" applyBorder="1" applyAlignment="1">
      <alignment horizontal="center" vertical="center"/>
    </xf>
    <xf numFmtId="0" fontId="1" fillId="15" borderId="99" xfId="0" applyFont="1" applyFill="1" applyBorder="1" applyAlignment="1">
      <alignment horizontal="center" vertical="center"/>
    </xf>
    <xf numFmtId="0" fontId="0" fillId="15" borderId="61" xfId="0" applyFont="1" applyFill="1" applyBorder="1" applyAlignment="1">
      <alignment horizontal="left" vertical="center"/>
    </xf>
    <xf numFmtId="0" fontId="0" fillId="15" borderId="62" xfId="0" applyFont="1" applyFill="1" applyBorder="1" applyAlignment="1">
      <alignment horizontal="left" vertical="center"/>
    </xf>
    <xf numFmtId="0" fontId="0" fillId="15" borderId="60" xfId="0" applyFont="1" applyFill="1" applyBorder="1" applyAlignment="1">
      <alignment horizontal="left" vertical="center"/>
    </xf>
    <xf numFmtId="0" fontId="0" fillId="15" borderId="61" xfId="0" applyFont="1" applyFill="1" applyBorder="1" applyAlignment="1">
      <alignment horizontal="center"/>
    </xf>
    <xf numFmtId="0" fontId="0" fillId="15" borderId="60" xfId="0" applyFont="1" applyFill="1" applyBorder="1" applyAlignment="1">
      <alignment horizontal="center"/>
    </xf>
    <xf numFmtId="0" fontId="1" fillId="10" borderId="85" xfId="0" applyFont="1" applyFill="1" applyBorder="1" applyAlignment="1">
      <alignment horizontal="center" vertical="center" wrapText="1"/>
    </xf>
    <xf numFmtId="0" fontId="1" fillId="10" borderId="86" xfId="0" applyFont="1" applyFill="1" applyBorder="1" applyAlignment="1">
      <alignment horizontal="center" vertical="center" wrapText="1"/>
    </xf>
    <xf numFmtId="0" fontId="1" fillId="10" borderId="87"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49" xfId="0" applyFont="1" applyFill="1" applyBorder="1" applyAlignment="1">
      <alignment horizontal="center" vertical="center" wrapText="1"/>
    </xf>
    <xf numFmtId="0" fontId="1" fillId="10" borderId="98"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99" xfId="0" applyFont="1" applyFill="1" applyBorder="1" applyAlignment="1">
      <alignment horizontal="center" vertical="center" wrapText="1"/>
    </xf>
    <xf numFmtId="0" fontId="3" fillId="10" borderId="61" xfId="0" applyNumberFormat="1" applyFont="1" applyFill="1" applyBorder="1" applyAlignment="1">
      <alignment horizontal="left" vertical="top" wrapText="1"/>
    </xf>
    <xf numFmtId="0" fontId="3" fillId="10" borderId="62" xfId="0" applyNumberFormat="1" applyFont="1" applyFill="1" applyBorder="1" applyAlignment="1">
      <alignment horizontal="left" vertical="top" wrapText="1"/>
    </xf>
    <xf numFmtId="0" fontId="3" fillId="10" borderId="60" xfId="0" applyNumberFormat="1" applyFont="1" applyFill="1" applyBorder="1" applyAlignment="1">
      <alignment horizontal="left" vertical="top" wrapText="1"/>
    </xf>
    <xf numFmtId="0" fontId="3" fillId="15" borderId="61" xfId="0" applyNumberFormat="1" applyFont="1" applyFill="1" applyBorder="1" applyAlignment="1">
      <alignment horizontal="left" vertical="top" wrapText="1"/>
    </xf>
    <xf numFmtId="0" fontId="3" fillId="15" borderId="62" xfId="0" applyNumberFormat="1" applyFont="1" applyFill="1" applyBorder="1" applyAlignment="1">
      <alignment horizontal="left" vertical="top" wrapText="1"/>
    </xf>
    <xf numFmtId="0" fontId="3" fillId="15" borderId="60" xfId="0" applyNumberFormat="1" applyFont="1" applyFill="1" applyBorder="1" applyAlignment="1">
      <alignment horizontal="left" vertical="top" wrapText="1"/>
    </xf>
    <xf numFmtId="0" fontId="3" fillId="15" borderId="62" xfId="0" applyNumberFormat="1" applyFont="1" applyFill="1" applyBorder="1" applyAlignment="1" applyProtection="1">
      <alignment horizontal="center" vertical="top" wrapText="1"/>
      <protection locked="0"/>
    </xf>
    <xf numFmtId="0" fontId="3" fillId="15" borderId="60" xfId="0" applyNumberFormat="1" applyFont="1" applyFill="1" applyBorder="1" applyAlignment="1" applyProtection="1">
      <alignment horizontal="center" vertical="top" wrapText="1"/>
      <protection locked="0"/>
    </xf>
    <xf numFmtId="0" fontId="0" fillId="10" borderId="61" xfId="0" applyFill="1" applyBorder="1" applyAlignment="1">
      <alignment horizontal="center" vertical="center"/>
    </xf>
    <xf numFmtId="0" fontId="0" fillId="10" borderId="60" xfId="0" applyFill="1" applyBorder="1" applyAlignment="1">
      <alignment horizontal="center" vertical="center"/>
    </xf>
    <xf numFmtId="49" fontId="3" fillId="0" borderId="61" xfId="0" applyNumberFormat="1" applyFont="1" applyFill="1" applyBorder="1" applyAlignment="1" applyProtection="1">
      <alignment horizontal="left" vertical="top" wrapText="1"/>
      <protection locked="0"/>
    </xf>
    <xf numFmtId="49" fontId="3" fillId="0" borderId="62" xfId="0" applyNumberFormat="1" applyFont="1" applyFill="1" applyBorder="1" applyAlignment="1" applyProtection="1">
      <alignment horizontal="left" vertical="top" wrapText="1"/>
      <protection locked="0"/>
    </xf>
    <xf numFmtId="49" fontId="3" fillId="0" borderId="60" xfId="0" applyNumberFormat="1" applyFont="1" applyFill="1" applyBorder="1" applyAlignment="1" applyProtection="1">
      <alignment horizontal="left" vertical="top" wrapText="1"/>
      <protection locked="0"/>
    </xf>
    <xf numFmtId="0" fontId="0" fillId="15" borderId="85" xfId="0" applyFont="1" applyFill="1" applyBorder="1" applyAlignment="1">
      <alignment horizontal="right" vertical="center"/>
    </xf>
    <xf numFmtId="0" fontId="0" fillId="15" borderId="86" xfId="0" applyFont="1" applyFill="1" applyBorder="1" applyAlignment="1">
      <alignment horizontal="right" vertical="center"/>
    </xf>
    <xf numFmtId="0" fontId="0" fillId="15" borderId="87" xfId="0" applyFont="1" applyFill="1" applyBorder="1" applyAlignment="1">
      <alignment horizontal="right" vertical="center"/>
    </xf>
    <xf numFmtId="0" fontId="0" fillId="15" borderId="98" xfId="0" applyFont="1" applyFill="1" applyBorder="1" applyAlignment="1">
      <alignment horizontal="right" vertical="center"/>
    </xf>
    <xf numFmtId="0" fontId="0" fillId="15" borderId="1" xfId="0" applyFont="1" applyFill="1" applyBorder="1" applyAlignment="1">
      <alignment horizontal="right" vertical="center"/>
    </xf>
    <xf numFmtId="0" fontId="0" fillId="15" borderId="99" xfId="0" applyFont="1" applyFill="1" applyBorder="1" applyAlignment="1">
      <alignment horizontal="right" vertical="center"/>
    </xf>
    <xf numFmtId="178" fontId="0" fillId="15" borderId="107" xfId="0" applyNumberFormat="1" applyFont="1" applyFill="1" applyBorder="1" applyAlignment="1" applyProtection="1">
      <alignment horizontal="center" vertical="center"/>
      <protection locked="0"/>
    </xf>
    <xf numFmtId="178" fontId="0" fillId="15" borderId="87" xfId="0" applyNumberFormat="1" applyFont="1" applyFill="1" applyBorder="1" applyAlignment="1" applyProtection="1">
      <alignment horizontal="center" vertical="center"/>
      <protection locked="0"/>
    </xf>
    <xf numFmtId="178" fontId="0" fillId="15" borderId="108" xfId="0" applyNumberFormat="1" applyFont="1" applyFill="1" applyBorder="1" applyAlignment="1" applyProtection="1">
      <alignment horizontal="center" vertical="center"/>
      <protection locked="0"/>
    </xf>
    <xf numFmtId="178" fontId="0" fillId="15" borderId="99" xfId="0" applyNumberFormat="1" applyFont="1" applyFill="1" applyBorder="1" applyAlignment="1" applyProtection="1">
      <alignment horizontal="center" vertical="center"/>
      <protection locked="0"/>
    </xf>
    <xf numFmtId="1" fontId="0" fillId="15" borderId="106" xfId="0" applyNumberFormat="1" applyFont="1" applyFill="1" applyBorder="1" applyAlignment="1" applyProtection="1">
      <alignment horizontal="center" vertical="center"/>
      <protection locked="0"/>
    </xf>
    <xf numFmtId="1" fontId="0" fillId="15" borderId="90" xfId="0" applyNumberFormat="1" applyFont="1" applyFill="1" applyBorder="1" applyAlignment="1" applyProtection="1">
      <alignment horizontal="center" vertical="center"/>
      <protection locked="0"/>
    </xf>
    <xf numFmtId="0" fontId="0" fillId="0" borderId="0" xfId="0" applyBorder="1" applyAlignment="1">
      <alignment horizontal="left" vertical="top"/>
    </xf>
    <xf numFmtId="1" fontId="0" fillId="15" borderId="105" xfId="0" applyNumberFormat="1" applyFont="1" applyFill="1" applyBorder="1" applyAlignment="1" applyProtection="1">
      <alignment horizontal="center" vertical="center"/>
      <protection locked="0"/>
    </xf>
    <xf numFmtId="1" fontId="0" fillId="15" borderId="74" xfId="0" applyNumberFormat="1" applyFont="1" applyFill="1" applyBorder="1" applyAlignment="1" applyProtection="1">
      <alignment horizontal="center" vertical="center"/>
      <protection locked="0"/>
    </xf>
    <xf numFmtId="1" fontId="0" fillId="15" borderId="75" xfId="0" applyNumberFormat="1" applyFont="1" applyFill="1" applyBorder="1" applyAlignment="1" applyProtection="1">
      <alignment horizontal="center" vertical="center"/>
      <protection locked="0"/>
    </xf>
    <xf numFmtId="1" fontId="0" fillId="15" borderId="73" xfId="0" applyNumberFormat="1" applyFont="1" applyFill="1" applyBorder="1" applyAlignment="1" applyProtection="1">
      <alignment horizontal="center" vertical="center"/>
      <protection locked="0"/>
    </xf>
    <xf numFmtId="1" fontId="0" fillId="15" borderId="76" xfId="0" applyNumberFormat="1" applyFont="1" applyFill="1" applyBorder="1" applyAlignment="1" applyProtection="1">
      <alignment horizontal="center" vertical="center"/>
      <protection locked="0"/>
    </xf>
    <xf numFmtId="1" fontId="0" fillId="15" borderId="79" xfId="0" applyNumberFormat="1" applyFont="1" applyFill="1" applyBorder="1" applyAlignment="1" applyProtection="1">
      <alignment horizontal="center" vertical="center"/>
      <protection locked="0"/>
    </xf>
    <xf numFmtId="1" fontId="0" fillId="15" borderId="77" xfId="0" applyNumberFormat="1" applyFont="1" applyFill="1" applyBorder="1" applyAlignment="1" applyProtection="1">
      <alignment horizontal="center" vertical="center"/>
      <protection locked="0"/>
    </xf>
    <xf numFmtId="1" fontId="0" fillId="15" borderId="78" xfId="0" applyNumberFormat="1" applyFont="1" applyFill="1" applyBorder="1" applyAlignment="1" applyProtection="1">
      <alignment horizontal="center" vertical="center"/>
      <protection locked="0"/>
    </xf>
    <xf numFmtId="1" fontId="0" fillId="15" borderId="91" xfId="0" applyNumberFormat="1" applyFont="1" applyFill="1" applyBorder="1" applyAlignment="1" applyProtection="1">
      <alignment horizontal="center" vertical="center"/>
      <protection locked="0"/>
    </xf>
    <xf numFmtId="1" fontId="0" fillId="15" borderId="89" xfId="0" applyNumberFormat="1" applyFont="1" applyFill="1" applyBorder="1" applyAlignment="1" applyProtection="1">
      <alignment horizontal="center" vertical="center"/>
      <protection locked="0"/>
    </xf>
    <xf numFmtId="1" fontId="0" fillId="15" borderId="93" xfId="0" applyNumberFormat="1" applyFont="1" applyFill="1" applyBorder="1" applyAlignment="1" applyProtection="1">
      <alignment horizontal="center" vertical="center"/>
      <protection locked="0"/>
    </xf>
    <xf numFmtId="1" fontId="0" fillId="15" borderId="109" xfId="0" applyNumberFormat="1" applyFont="1" applyFill="1" applyBorder="1" applyAlignment="1" applyProtection="1">
      <alignment horizontal="center" vertical="center"/>
      <protection locked="0"/>
    </xf>
    <xf numFmtId="1" fontId="0" fillId="15" borderId="80" xfId="0" applyNumberFormat="1" applyFont="1" applyFill="1" applyBorder="1" applyAlignment="1" applyProtection="1">
      <alignment horizontal="center" vertical="center"/>
      <protection locked="0"/>
    </xf>
    <xf numFmtId="0" fontId="0" fillId="15" borderId="6" xfId="0" applyFont="1" applyFill="1" applyBorder="1" applyAlignment="1">
      <alignment horizontal="right" vertical="center"/>
    </xf>
    <xf numFmtId="0" fontId="0" fillId="15" borderId="0" xfId="0" applyFont="1" applyFill="1" applyBorder="1" applyAlignment="1">
      <alignment horizontal="right" vertical="center"/>
    </xf>
    <xf numFmtId="0" fontId="0" fillId="15" borderId="49" xfId="0" applyFont="1" applyFill="1" applyBorder="1" applyAlignment="1">
      <alignment horizontal="right" vertical="center"/>
    </xf>
    <xf numFmtId="0" fontId="1" fillId="15" borderId="85" xfId="0" applyFont="1" applyFill="1" applyBorder="1" applyAlignment="1">
      <alignment horizontal="left" vertical="center"/>
    </xf>
    <xf numFmtId="0" fontId="1" fillId="15" borderId="86" xfId="0" applyFont="1" applyFill="1" applyBorder="1" applyAlignment="1">
      <alignment horizontal="left" vertical="center"/>
    </xf>
    <xf numFmtId="1" fontId="0" fillId="15" borderId="62" xfId="0" applyNumberFormat="1" applyFont="1" applyFill="1" applyBorder="1" applyAlignment="1">
      <alignment horizontal="center" vertical="center"/>
    </xf>
    <xf numFmtId="1" fontId="0" fillId="15" borderId="60" xfId="0" applyNumberFormat="1" applyFont="1" applyFill="1" applyBorder="1" applyAlignment="1">
      <alignment horizontal="center" vertical="center"/>
    </xf>
    <xf numFmtId="0" fontId="0" fillId="0" borderId="93" xfId="0" applyFont="1" applyBorder="1" applyAlignment="1" applyProtection="1">
      <alignment horizontal="center"/>
      <protection locked="0"/>
    </xf>
    <xf numFmtId="2" fontId="0" fillId="10" borderId="25" xfId="0" applyNumberFormat="1" applyFont="1" applyFill="1" applyBorder="1" applyAlignment="1" applyProtection="1">
      <alignment horizontal="center" vertical="center"/>
    </xf>
    <xf numFmtId="2" fontId="0" fillId="15" borderId="110" xfId="0" applyNumberFormat="1" applyFont="1" applyFill="1" applyBorder="1" applyAlignment="1" applyProtection="1">
      <alignment horizontal="center" vertical="center"/>
      <protection locked="0"/>
    </xf>
    <xf numFmtId="2" fontId="0" fillId="15" borderId="111"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0" fillId="0" borderId="82"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10" borderId="25" xfId="0" applyFont="1" applyFill="1" applyBorder="1" applyAlignment="1">
      <alignment horizontal="left" vertical="center"/>
    </xf>
    <xf numFmtId="0" fontId="0" fillId="10" borderId="65" xfId="0" applyFont="1" applyFill="1" applyBorder="1" applyAlignment="1">
      <alignment horizontal="left" vertical="center"/>
    </xf>
    <xf numFmtId="0" fontId="0" fillId="10" borderId="66" xfId="0" applyFont="1" applyFill="1" applyBorder="1" applyAlignment="1">
      <alignment horizontal="left" vertical="center"/>
    </xf>
    <xf numFmtId="0" fontId="0" fillId="10" borderId="67" xfId="0" applyFont="1" applyFill="1" applyBorder="1" applyAlignment="1">
      <alignment horizontal="left" vertical="center"/>
    </xf>
    <xf numFmtId="0" fontId="0" fillId="0" borderId="68" xfId="0" applyFont="1" applyFill="1" applyBorder="1" applyAlignment="1" applyProtection="1">
      <alignment horizontal="left" vertical="center"/>
      <protection locked="0"/>
    </xf>
    <xf numFmtId="0" fontId="0" fillId="0" borderId="69"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protection locked="0"/>
    </xf>
    <xf numFmtId="0" fontId="1" fillId="10" borderId="35" xfId="0" applyFont="1" applyFill="1" applyBorder="1" applyAlignment="1">
      <alignment horizontal="center" vertical="center"/>
    </xf>
    <xf numFmtId="0" fontId="1" fillId="10" borderId="30" xfId="0" applyFont="1" applyFill="1" applyBorder="1" applyAlignment="1">
      <alignment horizontal="center" vertical="center"/>
    </xf>
    <xf numFmtId="0" fontId="1" fillId="10" borderId="36" xfId="0" applyFont="1" applyFill="1" applyBorder="1" applyAlignment="1">
      <alignment horizontal="center" vertical="center"/>
    </xf>
    <xf numFmtId="0" fontId="0" fillId="0" borderId="80" xfId="0" applyFont="1" applyBorder="1" applyAlignment="1" applyProtection="1">
      <alignment horizontal="center"/>
      <protection locked="0"/>
    </xf>
    <xf numFmtId="0" fontId="3" fillId="10" borderId="25" xfId="0" applyFont="1" applyFill="1" applyBorder="1" applyAlignment="1">
      <alignment horizontal="left" vertical="center" wrapText="1"/>
    </xf>
    <xf numFmtId="0" fontId="0" fillId="0" borderId="25" xfId="0" applyBorder="1" applyProtection="1">
      <protection locked="0"/>
    </xf>
    <xf numFmtId="0" fontId="3" fillId="15" borderId="25" xfId="0" applyFont="1" applyFill="1" applyBorder="1" applyAlignment="1">
      <alignment horizontal="left" vertical="center" wrapText="1"/>
    </xf>
    <xf numFmtId="0" fontId="0" fillId="0" borderId="109" xfId="0" applyFont="1" applyFill="1" applyBorder="1" applyAlignment="1" applyProtection="1">
      <alignment horizontal="center" vertical="center"/>
      <protection locked="0"/>
    </xf>
    <xf numFmtId="0" fontId="0" fillId="15" borderId="25" xfId="0" applyFill="1" applyBorder="1" applyProtection="1">
      <protection locked="0"/>
    </xf>
    <xf numFmtId="0" fontId="3" fillId="10" borderId="113" xfId="0" applyFont="1" applyFill="1" applyBorder="1" applyAlignment="1">
      <alignment horizontal="center" vertical="center" wrapText="1"/>
    </xf>
    <xf numFmtId="0" fontId="3" fillId="10" borderId="55" xfId="0" applyFont="1" applyFill="1" applyBorder="1" applyAlignment="1">
      <alignment horizontal="center" vertical="center" wrapText="1"/>
    </xf>
    <xf numFmtId="0" fontId="3" fillId="10" borderId="57"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3" fillId="10" borderId="114" xfId="0" applyFont="1" applyFill="1" applyBorder="1" applyAlignment="1">
      <alignment horizontal="center" vertical="center" wrapText="1"/>
    </xf>
    <xf numFmtId="4" fontId="53" fillId="10" borderId="117" xfId="0" applyNumberFormat="1" applyFont="1" applyFill="1" applyBorder="1" applyAlignment="1">
      <alignment horizontal="center"/>
    </xf>
    <xf numFmtId="4" fontId="53" fillId="10" borderId="119" xfId="0" applyNumberFormat="1" applyFont="1" applyFill="1" applyBorder="1" applyAlignment="1">
      <alignment horizontal="center"/>
    </xf>
    <xf numFmtId="178" fontId="53" fillId="0" borderId="122" xfId="0" applyNumberFormat="1" applyFont="1" applyFill="1" applyBorder="1" applyAlignment="1" applyProtection="1">
      <alignment horizontal="center"/>
      <protection locked="0"/>
    </xf>
    <xf numFmtId="178" fontId="53" fillId="0" borderId="120" xfId="0" applyNumberFormat="1" applyFont="1" applyFill="1" applyBorder="1" applyAlignment="1" applyProtection="1">
      <alignment horizontal="center"/>
      <protection locked="0"/>
    </xf>
    <xf numFmtId="4" fontId="53" fillId="0" borderId="123" xfId="0" applyNumberFormat="1" applyFont="1" applyFill="1" applyBorder="1" applyAlignment="1" applyProtection="1">
      <alignment horizontal="center"/>
      <protection locked="0"/>
    </xf>
    <xf numFmtId="4" fontId="53" fillId="0" borderId="124" xfId="0" applyNumberFormat="1" applyFont="1" applyFill="1" applyBorder="1" applyAlignment="1" applyProtection="1">
      <alignment horizontal="center"/>
      <protection locked="0"/>
    </xf>
    <xf numFmtId="4" fontId="53" fillId="0" borderId="120" xfId="0" applyNumberFormat="1" applyFont="1" applyFill="1" applyBorder="1" applyAlignment="1" applyProtection="1">
      <alignment horizontal="center"/>
      <protection locked="0"/>
    </xf>
    <xf numFmtId="4" fontId="53" fillId="10" borderId="123" xfId="0" applyNumberFormat="1" applyFont="1" applyFill="1" applyBorder="1" applyAlignment="1">
      <alignment horizontal="center"/>
    </xf>
    <xf numFmtId="4" fontId="53" fillId="10" borderId="121" xfId="0" applyNumberFormat="1" applyFont="1" applyFill="1" applyBorder="1" applyAlignment="1">
      <alignment horizontal="center"/>
    </xf>
    <xf numFmtId="4" fontId="53" fillId="18" borderId="123" xfId="0" applyNumberFormat="1" applyFont="1" applyFill="1" applyBorder="1" applyAlignment="1" applyProtection="1">
      <alignment horizontal="center"/>
      <protection locked="0"/>
    </xf>
    <xf numFmtId="4" fontId="53" fillId="18" borderId="124" xfId="0" applyNumberFormat="1" applyFont="1" applyFill="1" applyBorder="1" applyAlignment="1" applyProtection="1">
      <alignment horizontal="center"/>
      <protection locked="0"/>
    </xf>
    <xf numFmtId="4" fontId="53" fillId="18" borderId="120" xfId="0" applyNumberFormat="1" applyFont="1" applyFill="1" applyBorder="1" applyAlignment="1" applyProtection="1">
      <alignment horizontal="center"/>
      <protection locked="0"/>
    </xf>
    <xf numFmtId="4" fontId="53" fillId="10" borderId="122" xfId="0" applyNumberFormat="1" applyFont="1" applyFill="1" applyBorder="1" applyAlignment="1">
      <alignment horizontal="center"/>
    </xf>
    <xf numFmtId="4" fontId="53" fillId="10" borderId="120" xfId="0" applyNumberFormat="1" applyFont="1" applyFill="1" applyBorder="1" applyAlignment="1">
      <alignment horizontal="center"/>
    </xf>
    <xf numFmtId="178" fontId="53" fillId="0" borderId="115" xfId="0" applyNumberFormat="1" applyFont="1" applyFill="1" applyBorder="1" applyAlignment="1" applyProtection="1">
      <alignment horizontal="center"/>
      <protection locked="0"/>
    </xf>
    <xf numFmtId="178" fontId="53" fillId="0" borderId="116" xfId="0" applyNumberFormat="1" applyFont="1" applyFill="1" applyBorder="1" applyAlignment="1" applyProtection="1">
      <alignment horizontal="center"/>
      <protection locked="0"/>
    </xf>
    <xf numFmtId="4" fontId="53" fillId="0" borderId="117" xfId="0" applyNumberFormat="1" applyFont="1" applyFill="1" applyBorder="1" applyAlignment="1" applyProtection="1">
      <alignment horizontal="center"/>
      <protection locked="0"/>
    </xf>
    <xf numFmtId="4" fontId="53" fillId="0" borderId="118" xfId="0" applyNumberFormat="1" applyFont="1" applyFill="1" applyBorder="1" applyAlignment="1" applyProtection="1">
      <alignment horizontal="center"/>
      <protection locked="0"/>
    </xf>
    <xf numFmtId="4" fontId="53" fillId="0" borderId="116" xfId="0" applyNumberFormat="1" applyFont="1" applyFill="1" applyBorder="1" applyAlignment="1" applyProtection="1">
      <alignment horizontal="center"/>
      <protection locked="0"/>
    </xf>
    <xf numFmtId="4" fontId="53" fillId="10" borderId="115" xfId="0" applyNumberFormat="1" applyFont="1" applyFill="1" applyBorder="1" applyAlignment="1">
      <alignment horizontal="center"/>
    </xf>
    <xf numFmtId="4" fontId="53" fillId="10" borderId="116" xfId="0" applyNumberFormat="1" applyFont="1" applyFill="1" applyBorder="1" applyAlignment="1">
      <alignment horizontal="center"/>
    </xf>
    <xf numFmtId="178" fontId="53" fillId="0" borderId="124" xfId="0" applyNumberFormat="1" applyFont="1" applyFill="1" applyBorder="1" applyAlignment="1" applyProtection="1">
      <alignment horizontal="center"/>
      <protection locked="0"/>
    </xf>
    <xf numFmtId="4" fontId="53" fillId="0" borderId="125" xfId="0" applyNumberFormat="1" applyFont="1" applyFill="1" applyBorder="1" applyAlignment="1" applyProtection="1">
      <alignment horizontal="center"/>
      <protection locked="0"/>
    </xf>
    <xf numFmtId="178" fontId="53" fillId="0" borderId="126" xfId="0" applyNumberFormat="1" applyFont="1" applyFill="1" applyBorder="1" applyAlignment="1" applyProtection="1">
      <alignment horizontal="center"/>
      <protection locked="0"/>
    </xf>
    <xf numFmtId="178" fontId="53" fillId="0" borderId="127" xfId="0" applyNumberFormat="1" applyFont="1" applyFill="1" applyBorder="1" applyAlignment="1" applyProtection="1">
      <alignment horizontal="center"/>
      <protection locked="0"/>
    </xf>
    <xf numFmtId="4" fontId="53" fillId="0" borderId="128" xfId="0" applyNumberFormat="1" applyFont="1" applyFill="1" applyBorder="1" applyAlignment="1" applyProtection="1">
      <alignment horizontal="center"/>
      <protection locked="0"/>
    </xf>
    <xf numFmtId="4" fontId="53" fillId="0" borderId="129" xfId="0" applyNumberFormat="1" applyFont="1" applyFill="1" applyBorder="1" applyAlignment="1" applyProtection="1">
      <alignment horizontal="center"/>
      <protection locked="0"/>
    </xf>
    <xf numFmtId="4" fontId="53" fillId="0" borderId="130" xfId="0" applyNumberFormat="1" applyFont="1" applyFill="1" applyBorder="1" applyAlignment="1" applyProtection="1">
      <alignment horizontal="center"/>
      <protection locked="0"/>
    </xf>
    <xf numFmtId="4" fontId="53" fillId="10" borderId="128" xfId="0" applyNumberFormat="1" applyFont="1" applyFill="1" applyBorder="1" applyAlignment="1">
      <alignment horizontal="center"/>
    </xf>
    <xf numFmtId="4" fontId="53" fillId="10" borderId="131" xfId="0" applyNumberFormat="1" applyFont="1" applyFill="1" applyBorder="1" applyAlignment="1">
      <alignment horizontal="center"/>
    </xf>
    <xf numFmtId="178" fontId="53" fillId="0" borderId="132" xfId="0" applyNumberFormat="1" applyFont="1" applyFill="1" applyBorder="1" applyAlignment="1" applyProtection="1">
      <alignment horizontal="center"/>
      <protection locked="0"/>
    </xf>
    <xf numFmtId="4" fontId="53" fillId="0" borderId="133" xfId="0" applyNumberFormat="1" applyFont="1" applyFill="1" applyBorder="1" applyAlignment="1" applyProtection="1">
      <alignment horizontal="center"/>
      <protection locked="0"/>
    </xf>
    <xf numFmtId="4" fontId="53" fillId="10" borderId="134" xfId="0" applyNumberFormat="1" applyFont="1" applyFill="1" applyBorder="1" applyAlignment="1">
      <alignment horizontal="center"/>
    </xf>
    <xf numFmtId="4" fontId="53" fillId="10" borderId="130" xfId="0" applyNumberFormat="1" applyFont="1" applyFill="1" applyBorder="1" applyAlignment="1">
      <alignment horizontal="center"/>
    </xf>
    <xf numFmtId="4" fontId="54" fillId="17" borderId="136" xfId="0" applyNumberFormat="1" applyFont="1" applyFill="1" applyBorder="1" applyAlignment="1">
      <alignment horizontal="center" vertical="center"/>
    </xf>
    <xf numFmtId="4" fontId="54" fillId="17" borderId="30" xfId="0" applyNumberFormat="1" applyFont="1" applyFill="1" applyBorder="1" applyAlignment="1">
      <alignment horizontal="center" vertical="center"/>
    </xf>
    <xf numFmtId="4" fontId="54" fillId="17" borderId="72" xfId="0" applyNumberFormat="1" applyFont="1" applyFill="1" applyBorder="1" applyAlignment="1">
      <alignment horizontal="center" vertical="center"/>
    </xf>
    <xf numFmtId="4" fontId="54" fillId="10" borderId="19" xfId="0" applyNumberFormat="1" applyFont="1" applyFill="1" applyBorder="1" applyAlignment="1">
      <alignment horizontal="center" vertical="center"/>
    </xf>
    <xf numFmtId="4" fontId="54" fillId="19" borderId="136" xfId="0" applyNumberFormat="1" applyFont="1" applyFill="1" applyBorder="1" applyAlignment="1">
      <alignment horizontal="center" vertical="center"/>
    </xf>
    <xf numFmtId="4" fontId="54" fillId="19" borderId="30" xfId="0" applyNumberFormat="1" applyFont="1" applyFill="1" applyBorder="1" applyAlignment="1">
      <alignment horizontal="center" vertical="center"/>
    </xf>
    <xf numFmtId="4" fontId="54" fillId="19" borderId="72" xfId="0" applyNumberFormat="1" applyFont="1" applyFill="1" applyBorder="1" applyAlignment="1">
      <alignment horizontal="center" vertical="center"/>
    </xf>
    <xf numFmtId="178" fontId="54" fillId="10" borderId="18" xfId="0" applyNumberFormat="1" applyFont="1" applyFill="1" applyBorder="1" applyAlignment="1">
      <alignment horizontal="center" vertical="center"/>
    </xf>
    <xf numFmtId="178" fontId="54" fillId="10" borderId="19" xfId="0" applyNumberFormat="1" applyFont="1" applyFill="1" applyBorder="1" applyAlignment="1">
      <alignment horizontal="center" vertical="center"/>
    </xf>
    <xf numFmtId="4" fontId="53" fillId="0" borderId="137" xfId="0" applyNumberFormat="1" applyFont="1" applyFill="1" applyBorder="1" applyAlignment="1" applyProtection="1">
      <alignment horizontal="center"/>
      <protection locked="0"/>
    </xf>
    <xf numFmtId="4" fontId="53" fillId="0" borderId="127" xfId="0" applyNumberFormat="1" applyFont="1" applyFill="1" applyBorder="1" applyAlignment="1" applyProtection="1">
      <alignment horizontal="center"/>
      <protection locked="0"/>
    </xf>
    <xf numFmtId="4" fontId="53" fillId="0" borderId="132" xfId="0" applyNumberFormat="1" applyFont="1" applyFill="1" applyBorder="1" applyAlignment="1" applyProtection="1">
      <alignment horizontal="center"/>
      <protection locked="0"/>
    </xf>
  </cellXfs>
  <cellStyles count="3">
    <cellStyle name="Check Cell" xfId="1" builtinId="23"/>
    <cellStyle name="Hyperlink" xfId="2" builtinId="8"/>
    <cellStyle name="Normal" xfId="0" builtinId="0"/>
  </cellStyles>
  <dxfs count="7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numFmt numFmtId="2" formatCode="0.00"/>
    </dxf>
    <dxf>
      <numFmt numFmtId="14" formatCode="0.00%"/>
    </dxf>
    <dxf>
      <numFmt numFmtId="14" formatCode="0.00%"/>
    </dxf>
    <dxf>
      <numFmt numFmtId="14" formatCode="0.00%"/>
    </dxf>
    <dxf>
      <numFmt numFmtId="14" formatCode="0.00%"/>
    </dxf>
    <dxf>
      <numFmt numFmtId="14" formatCode="0.00%"/>
    </dxf>
    <dxf>
      <fill>
        <patternFill>
          <bgColor theme="0"/>
        </patternFill>
      </fill>
    </dxf>
    <dxf>
      <fill>
        <patternFill>
          <bgColor rgb="FFFFFF00"/>
        </patternFill>
      </fill>
    </dxf>
    <dxf>
      <fill>
        <patternFill>
          <bgColor theme="0"/>
        </patternFill>
      </fill>
    </dxf>
    <dxf>
      <fill>
        <patternFill patternType="darkUp">
          <bgColor theme="1"/>
        </patternFill>
      </fill>
    </dxf>
    <dxf>
      <fill>
        <patternFill patternType="lightUp">
          <bgColor theme="1"/>
        </patternFill>
      </fill>
    </dxf>
    <dxf>
      <fill>
        <patternFill patternType="darkUp">
          <bgColor theme="1"/>
        </patternFill>
      </fill>
    </dxf>
    <dxf>
      <fill>
        <patternFill patternType="solid">
          <bgColor theme="0" tint="-0.14993743705557422"/>
        </patternFill>
      </fill>
    </dxf>
    <dxf>
      <fill>
        <patternFill>
          <bgColor theme="0" tint="-0.14996795556505021"/>
        </patternFill>
      </fill>
    </dxf>
    <dxf>
      <fill>
        <patternFill patternType="darkUp"/>
      </fill>
    </dxf>
    <dxf>
      <fill>
        <patternFill>
          <bgColor theme="0" tint="-0.14996795556505021"/>
        </patternFill>
      </fill>
    </dxf>
    <dxf>
      <fill>
        <patternFill>
          <bgColor theme="0" tint="-0.14996795556505021"/>
        </patternFill>
      </fill>
    </dxf>
    <dxf>
      <fill>
        <patternFill>
          <bgColor theme="0" tint="-0.14996795556505021"/>
        </patternFill>
      </fill>
    </dxf>
    <dxf>
      <numFmt numFmtId="1" formatCode="0"/>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patternType="darkUp"/>
      </fill>
    </dxf>
    <dxf>
      <fill>
        <patternFill patternType="darkUp"/>
      </fill>
    </dxf>
    <dxf>
      <fill>
        <patternFill>
          <bgColor rgb="FFFFFF00"/>
        </patternFill>
      </fill>
    </dxf>
    <dxf>
      <fill>
        <patternFill>
          <bgColor theme="0" tint="-0.14996795556505021"/>
        </patternFill>
      </fill>
    </dxf>
    <dxf>
      <fill>
        <patternFill>
          <bgColor theme="0" tint="-0.14996795556505021"/>
        </patternFill>
      </fill>
    </dxf>
    <dxf>
      <numFmt numFmtId="1" formatCode="0"/>
    </dxf>
    <dxf>
      <numFmt numFmtId="1" formatCode="0"/>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ont>
        <color theme="0"/>
      </font>
    </dxf>
    <dxf>
      <font>
        <color theme="0"/>
      </font>
    </dxf>
    <dxf>
      <font>
        <color theme="0"/>
      </font>
    </dxf>
    <dxf>
      <font>
        <strike val="0"/>
        <u val="none"/>
        <color theme="0"/>
      </font>
      <numFmt numFmtId="0" formatCode="General"/>
    </dxf>
    <dxf>
      <font>
        <color theme="0"/>
      </font>
    </dxf>
    <dxf>
      <font>
        <color theme="0"/>
      </font>
      <fill>
        <patternFill>
          <bgColor theme="0"/>
        </patternFill>
      </fill>
      <border>
        <left/>
        <right/>
        <top/>
        <bottom/>
      </border>
    </dxf>
    <dxf>
      <fill>
        <patternFill>
          <bgColor rgb="FF00FFFF"/>
        </patternFill>
      </fill>
      <border>
        <left style="thin">
          <color auto="1"/>
        </left>
        <right style="thin">
          <color auto="1"/>
        </right>
        <top style="thin">
          <color auto="1"/>
        </top>
        <bottom style="thin">
          <color auto="1"/>
        </bottom>
        <vertical/>
        <horizontal/>
      </border>
    </dxf>
    <dxf>
      <fill>
        <patternFill>
          <fgColor rgb="FFFFFF99"/>
          <bgColor rgb="FFFFFF99"/>
        </patternFill>
      </fill>
      <border>
        <left style="thin">
          <color auto="1"/>
        </left>
        <right style="thin">
          <color auto="1"/>
        </right>
        <top style="thin">
          <color auto="1"/>
        </top>
        <bottom style="thin">
          <color auto="1"/>
        </bottom>
        <vertical/>
        <horizontal/>
      </border>
    </dxf>
    <dxf>
      <numFmt numFmtId="1" formatCode="0"/>
    </dxf>
  </dxfs>
  <tableStyles count="0" defaultTableStyle="TableStyleMedium9" defaultPivotStyle="PivotStyleLight16"/>
  <colors>
    <mruColors>
      <color rgb="FF66FFFF"/>
      <color rgb="FFFFFF99"/>
      <color rgb="FFFF66FF"/>
      <color rgb="FF00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wmf"/></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wmf"/></Relationships>
</file>

<file path=xl/drawings/_rels/drawing7.xml.rels><?xml version="1.0" encoding="UTF-8" standalone="yes"?>
<Relationships xmlns="http://schemas.openxmlformats.org/package/2006/relationships"><Relationship Id="rId1" Type="http://schemas.openxmlformats.org/officeDocument/2006/relationships/image" Target="../media/image4.w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3</xdr:col>
      <xdr:colOff>278130</xdr:colOff>
      <xdr:row>43</xdr:row>
      <xdr:rowOff>131445</xdr:rowOff>
    </xdr:to>
    <xdr:pic>
      <xdr:nvPicPr>
        <xdr:cNvPr id="18" name="Picture 17">
          <a:extLst>
            <a:ext uri="{FF2B5EF4-FFF2-40B4-BE49-F238E27FC236}">
              <a16:creationId xmlns:a16="http://schemas.microsoft.com/office/drawing/2014/main" id="{00000000-0008-0000-0600-00001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760" y="7924800"/>
          <a:ext cx="2266950" cy="527685"/>
        </a:xfrm>
        <a:prstGeom prst="rect">
          <a:avLst/>
        </a:prstGeom>
      </xdr:spPr>
    </xdr:pic>
    <xdr:clientData/>
  </xdr:twoCellAnchor>
  <xdr:twoCellAnchor editAs="oneCell">
    <xdr:from>
      <xdr:col>1</xdr:col>
      <xdr:colOff>0</xdr:colOff>
      <xdr:row>3</xdr:row>
      <xdr:rowOff>0</xdr:rowOff>
    </xdr:from>
    <xdr:to>
      <xdr:col>10</xdr:col>
      <xdr:colOff>353695</xdr:colOff>
      <xdr:row>11</xdr:row>
      <xdr:rowOff>95250</xdr:rowOff>
    </xdr:to>
    <xdr:pic>
      <xdr:nvPicPr>
        <xdr:cNvPr id="2" name="image1.jpe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5760" y="594360"/>
          <a:ext cx="6198235" cy="1436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35</xdr:row>
      <xdr:rowOff>0</xdr:rowOff>
    </xdr:from>
    <xdr:to>
      <xdr:col>5</xdr:col>
      <xdr:colOff>262890</xdr:colOff>
      <xdr:row>37</xdr:row>
      <xdr:rowOff>161925</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7320" y="6987540"/>
          <a:ext cx="2266950" cy="527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45720</xdr:colOff>
      <xdr:row>36</xdr:row>
      <xdr:rowOff>45720</xdr:rowOff>
    </xdr:from>
    <xdr:to>
      <xdr:col>4</xdr:col>
      <xdr:colOff>963930</xdr:colOff>
      <xdr:row>38</xdr:row>
      <xdr:rowOff>131445</xdr:rowOff>
    </xdr:to>
    <xdr:pic>
      <xdr:nvPicPr>
        <xdr:cNvPr id="5" name="Picture 4">
          <a:extLst>
            <a:ext uri="{FF2B5EF4-FFF2-40B4-BE49-F238E27FC236}">
              <a16:creationId xmlns:a16="http://schemas.microsoft.com/office/drawing/2014/main" id="{00000000-0008-0000-09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560" y="10652760"/>
          <a:ext cx="2266950" cy="5276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57</xdr:row>
          <xdr:rowOff>152400</xdr:rowOff>
        </xdr:from>
        <xdr:to>
          <xdr:col>3</xdr:col>
          <xdr:colOff>219075</xdr:colOff>
          <xdr:row>57</xdr:row>
          <xdr:rowOff>533400</xdr:rowOff>
        </xdr:to>
        <xdr:sp macro="" textlink="">
          <xdr:nvSpPr>
            <xdr:cNvPr id="3094" name="Check Box 22" descr="&#10;" hidden="1">
              <a:extLst>
                <a:ext uri="{63B3BB69-23CF-44E3-9099-C40C66FF867C}">
                  <a14:compatExt spid="_x0000_s3094"/>
                </a:ext>
                <a:ext uri="{FF2B5EF4-FFF2-40B4-BE49-F238E27FC236}">
                  <a16:creationId xmlns:a16="http://schemas.microsoft.com/office/drawing/2014/main" id="{00000000-0008-0000-09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152400</xdr:rowOff>
        </xdr:from>
        <xdr:to>
          <xdr:col>3</xdr:col>
          <xdr:colOff>219075</xdr:colOff>
          <xdr:row>61</xdr:row>
          <xdr:rowOff>533400</xdr:rowOff>
        </xdr:to>
        <xdr:sp macro="" textlink="">
          <xdr:nvSpPr>
            <xdr:cNvPr id="3095" name="Check Box 23" descr="&#10;" hidden="1">
              <a:extLst>
                <a:ext uri="{63B3BB69-23CF-44E3-9099-C40C66FF867C}">
                  <a14:compatExt spid="_x0000_s3095"/>
                </a:ext>
                <a:ext uri="{FF2B5EF4-FFF2-40B4-BE49-F238E27FC236}">
                  <a16:creationId xmlns:a16="http://schemas.microsoft.com/office/drawing/2014/main" id="{00000000-0008-0000-09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71</xdr:row>
          <xdr:rowOff>152400</xdr:rowOff>
        </xdr:from>
        <xdr:to>
          <xdr:col>2</xdr:col>
          <xdr:colOff>447675</xdr:colOff>
          <xdr:row>71</xdr:row>
          <xdr:rowOff>533400</xdr:rowOff>
        </xdr:to>
        <xdr:sp macro="" textlink="">
          <xdr:nvSpPr>
            <xdr:cNvPr id="3096" name="Check Box 24" descr="&#10;" hidden="1">
              <a:extLst>
                <a:ext uri="{63B3BB69-23CF-44E3-9099-C40C66FF867C}">
                  <a14:compatExt spid="_x0000_s3096"/>
                </a:ext>
                <a:ext uri="{FF2B5EF4-FFF2-40B4-BE49-F238E27FC236}">
                  <a16:creationId xmlns:a16="http://schemas.microsoft.com/office/drawing/2014/main" id="{00000000-0008-0000-09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152400</xdr:rowOff>
        </xdr:from>
        <xdr:to>
          <xdr:col>2</xdr:col>
          <xdr:colOff>442913</xdr:colOff>
          <xdr:row>65</xdr:row>
          <xdr:rowOff>533400</xdr:rowOff>
        </xdr:to>
        <xdr:sp macro="" textlink="">
          <xdr:nvSpPr>
            <xdr:cNvPr id="3097" name="Check Box 25" descr="&#10;" hidden="1">
              <a:extLst>
                <a:ext uri="{63B3BB69-23CF-44E3-9099-C40C66FF867C}">
                  <a14:compatExt spid="_x0000_s3097"/>
                </a:ext>
                <a:ext uri="{FF2B5EF4-FFF2-40B4-BE49-F238E27FC236}">
                  <a16:creationId xmlns:a16="http://schemas.microsoft.com/office/drawing/2014/main" id="{00000000-0008-0000-09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xdr:col>
      <xdr:colOff>45720</xdr:colOff>
      <xdr:row>0</xdr:row>
      <xdr:rowOff>169962</xdr:rowOff>
    </xdr:from>
    <xdr:to>
      <xdr:col>4</xdr:col>
      <xdr:colOff>1120433</xdr:colOff>
      <xdr:row>6</xdr:row>
      <xdr:rowOff>45849</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944880" y="169962"/>
          <a:ext cx="2423453" cy="1072227"/>
        </a:xfrm>
        <a:prstGeom prst="rect">
          <a:avLst/>
        </a:prstGeom>
      </xdr:spPr>
    </xdr:pic>
    <xdr:clientData/>
  </xdr:twoCellAnchor>
  <xdr:twoCellAnchor editAs="oneCell">
    <xdr:from>
      <xdr:col>2</xdr:col>
      <xdr:colOff>106680</xdr:colOff>
      <xdr:row>45</xdr:row>
      <xdr:rowOff>1858</xdr:rowOff>
    </xdr:from>
    <xdr:to>
      <xdr:col>4</xdr:col>
      <xdr:colOff>1371893</xdr:colOff>
      <xdr:row>50</xdr:row>
      <xdr:rowOff>144909</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1005840" y="11957638"/>
          <a:ext cx="2613953" cy="11565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16</xdr:row>
          <xdr:rowOff>0</xdr:rowOff>
        </xdr:from>
        <xdr:to>
          <xdr:col>0</xdr:col>
          <xdr:colOff>366713</xdr:colOff>
          <xdr:row>17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17</xdr:row>
          <xdr:rowOff>9525</xdr:rowOff>
        </xdr:from>
        <xdr:to>
          <xdr:col>0</xdr:col>
          <xdr:colOff>333375</xdr:colOff>
          <xdr:row>18</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0</xdr:rowOff>
        </xdr:from>
        <xdr:to>
          <xdr:col>0</xdr:col>
          <xdr:colOff>333375</xdr:colOff>
          <xdr:row>19</xdr:row>
          <xdr:rowOff>61913</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0</xdr:rowOff>
        </xdr:from>
        <xdr:to>
          <xdr:col>0</xdr:col>
          <xdr:colOff>371475</xdr:colOff>
          <xdr:row>20</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A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20</xdr:row>
          <xdr:rowOff>0</xdr:rowOff>
        </xdr:from>
        <xdr:to>
          <xdr:col>0</xdr:col>
          <xdr:colOff>381000</xdr:colOff>
          <xdr:row>21</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A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21</xdr:row>
          <xdr:rowOff>9525</xdr:rowOff>
        </xdr:from>
        <xdr:to>
          <xdr:col>0</xdr:col>
          <xdr:colOff>366713</xdr:colOff>
          <xdr:row>22</xdr:row>
          <xdr:rowOff>61913</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180975</xdr:rowOff>
        </xdr:from>
        <xdr:to>
          <xdr:col>0</xdr:col>
          <xdr:colOff>519113</xdr:colOff>
          <xdr:row>27</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9525</xdr:rowOff>
        </xdr:from>
        <xdr:to>
          <xdr:col>0</xdr:col>
          <xdr:colOff>485775</xdr:colOff>
          <xdr:row>28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28</xdr:row>
          <xdr:rowOff>23813</xdr:rowOff>
        </xdr:from>
        <xdr:to>
          <xdr:col>0</xdr:col>
          <xdr:colOff>485775</xdr:colOff>
          <xdr:row>29</xdr:row>
          <xdr:rowOff>23813</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A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29</xdr:row>
          <xdr:rowOff>23813</xdr:rowOff>
        </xdr:from>
        <xdr:to>
          <xdr:col>0</xdr:col>
          <xdr:colOff>481013</xdr:colOff>
          <xdr:row>30</xdr:row>
          <xdr:rowOff>23813</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A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30</xdr:row>
          <xdr:rowOff>0</xdr:rowOff>
        </xdr:from>
        <xdr:to>
          <xdr:col>0</xdr:col>
          <xdr:colOff>481013</xdr:colOff>
          <xdr:row>31</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A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31</xdr:row>
          <xdr:rowOff>9525</xdr:rowOff>
        </xdr:from>
        <xdr:to>
          <xdr:col>0</xdr:col>
          <xdr:colOff>481013</xdr:colOff>
          <xdr:row>32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A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60960</xdr:colOff>
      <xdr:row>4</xdr:row>
      <xdr:rowOff>22860</xdr:rowOff>
    </xdr:to>
    <xdr:pic>
      <xdr:nvPicPr>
        <xdr:cNvPr id="15" name="Picture 14">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9999"/>
        <a:stretch>
          <a:fillRect/>
        </a:stretch>
      </xdr:blipFill>
      <xdr:spPr bwMode="auto">
        <a:xfrm>
          <a:off x="0" y="182880"/>
          <a:ext cx="144018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2</xdr:col>
      <xdr:colOff>224790</xdr:colOff>
      <xdr:row>27</xdr:row>
      <xdr:rowOff>161925</xdr:rowOff>
    </xdr:to>
    <xdr:pic>
      <xdr:nvPicPr>
        <xdr:cNvPr id="3" name="Picture 2">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326380"/>
          <a:ext cx="2266950" cy="5276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60960</xdr:colOff>
      <xdr:row>4</xdr:row>
      <xdr:rowOff>22860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9999"/>
        <a:stretch>
          <a:fillRect/>
        </a:stretch>
      </xdr:blipFill>
      <xdr:spPr bwMode="auto">
        <a:xfrm>
          <a:off x="0" y="182880"/>
          <a:ext cx="210312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2</xdr:col>
      <xdr:colOff>224790</xdr:colOff>
      <xdr:row>30</xdr:row>
      <xdr:rowOff>161925</xdr:rowOff>
    </xdr:to>
    <xdr:pic>
      <xdr:nvPicPr>
        <xdr:cNvPr id="5" name="Picture 4">
          <a:extLst>
            <a:ext uri="{FF2B5EF4-FFF2-40B4-BE49-F238E27FC236}">
              <a16:creationId xmlns:a16="http://schemas.microsoft.com/office/drawing/2014/main" id="{00000000-0008-0000-0E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5897880"/>
          <a:ext cx="2266950" cy="52768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60960</xdr:colOff>
      <xdr:row>4</xdr:row>
      <xdr:rowOff>22860</xdr:rowOff>
    </xdr:to>
    <xdr:pic>
      <xdr:nvPicPr>
        <xdr:cNvPr id="2" name="Picture 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9999"/>
        <a:stretch>
          <a:fillRect/>
        </a:stretch>
      </xdr:blipFill>
      <xdr:spPr bwMode="auto">
        <a:xfrm>
          <a:off x="0" y="180975"/>
          <a:ext cx="2189798"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257175</xdr:colOff>
          <xdr:row>20</xdr:row>
          <xdr:rowOff>9525</xdr:rowOff>
        </xdr:from>
        <xdr:to>
          <xdr:col>0</xdr:col>
          <xdr:colOff>733425</xdr:colOff>
          <xdr:row>22</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F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29</xdr:row>
          <xdr:rowOff>9525</xdr:rowOff>
        </xdr:from>
        <xdr:to>
          <xdr:col>0</xdr:col>
          <xdr:colOff>733425</xdr:colOff>
          <xdr:row>31</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F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ant%20Payments%20(M)/COMPANIES/A%20-%20F/EJ%20Ireland%20Access%20Solutions%20Limited/EJ%20Ireland%20-%20Project%20184154%20BAG/Workings%20-%20Clai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Training Grant Cover Sheet"/>
      <sheetName val="Current Claim"/>
      <sheetName val="Claim History"/>
      <sheetName val="Summary "/>
      <sheetName val="Payment Report"/>
      <sheetName val="Payment Letter"/>
      <sheetName val="Special Conditions Memo"/>
      <sheetName val="Inspection P1"/>
      <sheetName val="Validation process"/>
      <sheetName val="Proposed Reallocation"/>
    </sheetNames>
    <sheetDataSet>
      <sheetData sheetId="0">
        <row r="17">
          <cell r="P17" t="str">
            <v>Mr</v>
          </cell>
        </row>
        <row r="18">
          <cell r="P18" t="str">
            <v>Ms</v>
          </cell>
        </row>
        <row r="19">
          <cell r="P19" t="str">
            <v>Mrs</v>
          </cell>
        </row>
        <row r="20">
          <cell r="P20" t="str">
            <v>Miss</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15.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8"/>
  <sheetViews>
    <sheetView showGridLines="0" tabSelected="1" zoomScaleNormal="100" workbookViewId="0">
      <selection activeCell="B35" sqref="B35"/>
    </sheetView>
  </sheetViews>
  <sheetFormatPr defaultRowHeight="18"/>
  <cols>
    <col min="1" max="1" width="39.86328125" style="23" customWidth="1"/>
    <col min="2" max="2" width="38.33203125" style="20" customWidth="1"/>
    <col min="3" max="3" width="5.53125" style="116" customWidth="1"/>
    <col min="4" max="4" width="27.46484375" style="4" bestFit="1" customWidth="1"/>
    <col min="5" max="5" width="10.6640625" style="115" bestFit="1" customWidth="1"/>
    <col min="6" max="6" width="18.46484375" customWidth="1"/>
    <col min="7" max="7" width="21.1328125" bestFit="1" customWidth="1"/>
    <col min="8" max="8" width="20.53125" customWidth="1"/>
    <col min="9" max="9" width="19.1328125" customWidth="1"/>
  </cols>
  <sheetData>
    <row r="1" spans="1:16" ht="18.399999999999999" thickBot="1">
      <c r="B1" s="244" t="s">
        <v>117</v>
      </c>
    </row>
    <row r="2" spans="1:16" ht="18.399999999999999" thickBot="1">
      <c r="A2" s="193" t="s">
        <v>66</v>
      </c>
      <c r="B2" s="84" t="s">
        <v>35</v>
      </c>
      <c r="D2" s="427" t="s">
        <v>327</v>
      </c>
      <c r="E2" s="428"/>
    </row>
    <row r="3" spans="1:16" ht="18.399999999999999" thickBot="1">
      <c r="A3" s="194" t="s">
        <v>83</v>
      </c>
      <c r="B3" s="85">
        <v>1</v>
      </c>
      <c r="D3" s="429"/>
      <c r="E3" s="430"/>
      <c r="F3" s="421"/>
    </row>
    <row r="4" spans="1:16" ht="23.65" thickBot="1">
      <c r="A4" s="195" t="s">
        <v>172</v>
      </c>
      <c r="B4" s="192">
        <v>0</v>
      </c>
      <c r="D4" s="111" t="e">
        <f>IF(OR(D38*B26&gt;B4+1,D38*B26&lt;B4-1),"Claim &amp; Expenditure Mismatch","")</f>
        <v>#VALUE!</v>
      </c>
    </row>
    <row r="5" spans="1:16" ht="18.399999999999999" thickBot="1">
      <c r="A5" s="423" t="s">
        <v>245</v>
      </c>
      <c r="B5" s="424" t="s">
        <v>35</v>
      </c>
      <c r="C5" s="422"/>
    </row>
    <row r="6" spans="1:16" ht="18.399999999999999" thickBot="1">
      <c r="A6" s="112" t="s">
        <v>46</v>
      </c>
      <c r="B6" s="83"/>
    </row>
    <row r="7" spans="1:16">
      <c r="A7" s="187" t="s">
        <v>49</v>
      </c>
      <c r="B7" s="236" t="s">
        <v>35</v>
      </c>
      <c r="D7" s="180"/>
    </row>
    <row r="8" spans="1:16">
      <c r="A8" s="188" t="s">
        <v>50</v>
      </c>
      <c r="B8" s="236"/>
    </row>
    <row r="9" spans="1:16">
      <c r="A9" s="189" t="s">
        <v>48</v>
      </c>
      <c r="B9" s="236"/>
    </row>
    <row r="10" spans="1:16" ht="18.399999999999999" thickBot="1">
      <c r="A10" s="188" t="s">
        <v>81</v>
      </c>
      <c r="B10" s="241"/>
    </row>
    <row r="11" spans="1:16" ht="14.65" thickBot="1">
      <c r="A11" s="188" t="s">
        <v>82</v>
      </c>
      <c r="B11" s="237"/>
      <c r="C11" s="394"/>
      <c r="D11" s="395" t="s">
        <v>328</v>
      </c>
    </row>
    <row r="12" spans="1:16" ht="14.25">
      <c r="A12" s="188"/>
      <c r="B12" s="237"/>
    </row>
    <row r="13" spans="1:16" ht="18.399999999999999" thickBot="1">
      <c r="A13" s="190" t="s">
        <v>45</v>
      </c>
      <c r="B13" s="117" t="s">
        <v>35</v>
      </c>
    </row>
    <row r="14" spans="1:16">
      <c r="A14" s="188" t="s">
        <v>40</v>
      </c>
      <c r="B14" s="241"/>
    </row>
    <row r="15" spans="1:16">
      <c r="A15" s="188" t="s">
        <v>41</v>
      </c>
      <c r="B15" s="241"/>
    </row>
    <row r="16" spans="1:16">
      <c r="A16" s="188" t="s">
        <v>42</v>
      </c>
      <c r="B16" s="241"/>
      <c r="P16" s="21"/>
    </row>
    <row r="17" spans="1:16">
      <c r="A17" s="188" t="s">
        <v>43</v>
      </c>
      <c r="B17" s="241"/>
      <c r="C17" s="283"/>
      <c r="O17" s="21"/>
      <c r="P17" s="21" t="s">
        <v>51</v>
      </c>
    </row>
    <row r="18" spans="1:16" ht="18.399999999999999" thickBot="1">
      <c r="A18" s="190" t="s">
        <v>44</v>
      </c>
      <c r="B18" s="106"/>
      <c r="O18" s="21"/>
      <c r="P18" s="21" t="s">
        <v>52</v>
      </c>
    </row>
    <row r="19" spans="1:16" ht="18.399999999999999" thickBot="1">
      <c r="A19" s="425" t="s">
        <v>310</v>
      </c>
      <c r="B19" s="330" t="s">
        <v>35</v>
      </c>
      <c r="P19" s="21" t="s">
        <v>53</v>
      </c>
    </row>
    <row r="20" spans="1:16" ht="18.399999999999999" thickBot="1">
      <c r="A20" s="426" t="s">
        <v>309</v>
      </c>
      <c r="B20" s="108"/>
      <c r="E20" s="21" t="s">
        <v>243</v>
      </c>
      <c r="F20" s="21" t="s">
        <v>244</v>
      </c>
      <c r="P20" s="21" t="s">
        <v>54</v>
      </c>
    </row>
    <row r="21" spans="1:16" ht="18.399999999999999" thickBot="1">
      <c r="A21" s="112" t="s">
        <v>47</v>
      </c>
      <c r="B21" s="83"/>
      <c r="P21" s="21"/>
    </row>
    <row r="22" spans="1:16" ht="18.75" customHeight="1" thickBot="1">
      <c r="A22" s="185" t="s">
        <v>174</v>
      </c>
      <c r="B22" s="196" t="s">
        <v>326</v>
      </c>
      <c r="D22" s="322" t="str">
        <f>TRIM(LEFT(SUBSTITUTE(B22," ",REPT(" ",255)),255))</f>
        <v>Training</v>
      </c>
      <c r="P22" s="21"/>
    </row>
    <row r="23" spans="1:16">
      <c r="A23" s="184" t="s">
        <v>313</v>
      </c>
      <c r="B23" s="108" t="s">
        <v>35</v>
      </c>
      <c r="P23" s="21"/>
    </row>
    <row r="24" spans="1:16">
      <c r="A24" s="185" t="s">
        <v>67</v>
      </c>
      <c r="B24" s="105" t="s">
        <v>35</v>
      </c>
      <c r="P24" s="21"/>
    </row>
    <row r="25" spans="1:16" ht="23.25">
      <c r="A25" s="185" t="s">
        <v>173</v>
      </c>
      <c r="B25" s="103" t="s">
        <v>35</v>
      </c>
      <c r="D25" s="111" t="e">
        <f>IF(OR($B$38*$B$26&gt;$B$25+1,$B$38*$B$26&lt;$B$25-1),"Check Grant Amount","")</f>
        <v>#VALUE!</v>
      </c>
    </row>
    <row r="26" spans="1:16" ht="18.399999999999999" thickBot="1">
      <c r="A26" s="185" t="s">
        <v>113</v>
      </c>
      <c r="B26" s="191" t="s">
        <v>35</v>
      </c>
    </row>
    <row r="27" spans="1:16" ht="23.65" thickBot="1">
      <c r="A27" s="185" t="s">
        <v>170</v>
      </c>
      <c r="B27" s="105" t="str">
        <f>B24</f>
        <v xml:space="preserve"> </v>
      </c>
      <c r="D27" s="111" t="e">
        <f>IF(OR(D38*B26&gt;B4+1,D38*B26&lt;B4-1),"Check Claim Amount","")</f>
        <v>#VALUE!</v>
      </c>
      <c r="E27" s="284"/>
      <c r="F27" s="244" t="s">
        <v>117</v>
      </c>
      <c r="G27" s="120"/>
    </row>
    <row r="28" spans="1:16" ht="18.399999999999999" thickBot="1">
      <c r="A28" s="186" t="s">
        <v>171</v>
      </c>
      <c r="B28" s="105" t="s">
        <v>35</v>
      </c>
      <c r="F28" s="89"/>
      <c r="G28" s="90" t="str">
        <f>IF(B3&gt;2,"Previous Claims","Previous Claim")</f>
        <v>Previous Claim</v>
      </c>
      <c r="H28" s="91"/>
      <c r="I28" s="92"/>
    </row>
    <row r="29" spans="1:16" ht="36.4" thickBot="1">
      <c r="A29" s="112" t="s">
        <v>112</v>
      </c>
      <c r="B29" s="83"/>
      <c r="D29" s="110" t="s">
        <v>118</v>
      </c>
      <c r="F29" s="93" t="str">
        <f>IF($B$3&gt;2,CONCATENATE("Total Amount Certified Claim 1 - ",$B$3-1),"Total Amount Certified Claim 1")</f>
        <v>Total Amount Certified Claim 1</v>
      </c>
      <c r="G29" s="82" t="str">
        <f>IF($B$3&gt;2,CONCATENATE("Total Amount Approved Claim 1 - ",$B$3-1),"Total Amount Approved Claim 1")</f>
        <v>Total Amount Approved Claim 1</v>
      </c>
      <c r="H29" s="82" t="str">
        <f>IF($B$3&gt;2,CONCATENATE("Total Amount Disallowed Claim 1 - ",$B$3-1),"Total Amount Disallowed Claim 1")</f>
        <v>Total Amount Disallowed Claim 1</v>
      </c>
      <c r="I29" s="94" t="str">
        <f>IF($B$3&gt;2,CONCATENATE("Total Amount Deferred Claim 1 - ",$B$3-1),"Total Amount Deferred Claim 1")</f>
        <v>Total Amount Deferred Claim 1</v>
      </c>
    </row>
    <row r="30" spans="1:16">
      <c r="A30" s="99" t="s">
        <v>339</v>
      </c>
      <c r="B30" s="100">
        <v>0</v>
      </c>
      <c r="D30" s="95">
        <v>0</v>
      </c>
      <c r="F30" s="95">
        <v>0</v>
      </c>
      <c r="G30" s="157">
        <f>F30-H30-I30</f>
        <v>0</v>
      </c>
      <c r="H30" s="107">
        <f t="shared" ref="H30:I31" si="0">IF($B$3&lt;2,0,0)</f>
        <v>0</v>
      </c>
      <c r="I30" s="95">
        <f t="shared" si="0"/>
        <v>0</v>
      </c>
      <c r="J30" s="116" t="str">
        <f>IF(G30+D30&gt;B30,"Category exceeded, check Summary tab","")</f>
        <v/>
      </c>
      <c r="K30" s="115"/>
    </row>
    <row r="31" spans="1:16">
      <c r="A31" s="102" t="s">
        <v>340</v>
      </c>
      <c r="B31" s="103">
        <v>0</v>
      </c>
      <c r="D31" s="97">
        <v>0</v>
      </c>
      <c r="F31" s="97">
        <v>0</v>
      </c>
      <c r="G31" s="158">
        <f t="shared" ref="G31:G37" si="1">F31-H31-I31</f>
        <v>0</v>
      </c>
      <c r="H31" s="97">
        <f t="shared" si="0"/>
        <v>0</v>
      </c>
      <c r="I31" s="97">
        <f t="shared" si="0"/>
        <v>0</v>
      </c>
      <c r="J31" s="116" t="str">
        <f t="shared" ref="J31:J37" si="2">IF(G31+D31&gt;B31,"Category exceeded, check Summary tab","")</f>
        <v/>
      </c>
      <c r="K31" s="115"/>
    </row>
    <row r="32" spans="1:16">
      <c r="A32" s="102" t="s">
        <v>227</v>
      </c>
      <c r="B32" s="103">
        <v>0</v>
      </c>
      <c r="D32" s="97">
        <v>0</v>
      </c>
      <c r="F32" s="97">
        <v>0</v>
      </c>
      <c r="G32" s="159">
        <f t="shared" si="1"/>
        <v>0</v>
      </c>
      <c r="H32" s="98">
        <v>0</v>
      </c>
      <c r="I32" s="97">
        <f t="shared" ref="F32:I37" si="3">IF($B$3&lt;2,0,0)</f>
        <v>0</v>
      </c>
      <c r="J32" s="116" t="str">
        <f t="shared" si="2"/>
        <v/>
      </c>
      <c r="K32" s="115"/>
    </row>
    <row r="33" spans="1:11">
      <c r="A33" s="102" t="s">
        <v>302</v>
      </c>
      <c r="B33" s="103">
        <v>0</v>
      </c>
      <c r="C33" s="119"/>
      <c r="D33" s="97">
        <v>0</v>
      </c>
      <c r="E33" s="115" t="str">
        <f>J33</f>
        <v/>
      </c>
      <c r="F33" s="97">
        <v>0</v>
      </c>
      <c r="G33" s="159">
        <f t="shared" si="1"/>
        <v>0</v>
      </c>
      <c r="H33" s="98">
        <f t="shared" si="3"/>
        <v>0</v>
      </c>
      <c r="I33" s="97">
        <f t="shared" si="3"/>
        <v>0</v>
      </c>
      <c r="J33" s="116" t="str">
        <f t="shared" si="2"/>
        <v/>
      </c>
      <c r="K33" s="115"/>
    </row>
    <row r="34" spans="1:11">
      <c r="A34" s="102" t="s">
        <v>191</v>
      </c>
      <c r="B34" s="103">
        <v>0</v>
      </c>
      <c r="D34" s="97">
        <v>0</v>
      </c>
      <c r="F34" s="97">
        <v>0</v>
      </c>
      <c r="G34" s="159">
        <f t="shared" si="1"/>
        <v>0</v>
      </c>
      <c r="H34" s="98">
        <f t="shared" si="3"/>
        <v>0</v>
      </c>
      <c r="I34" s="97">
        <f t="shared" si="3"/>
        <v>0</v>
      </c>
      <c r="J34" s="116" t="str">
        <f t="shared" si="2"/>
        <v/>
      </c>
      <c r="K34" s="115"/>
    </row>
    <row r="35" spans="1:11">
      <c r="A35" s="102" t="s">
        <v>341</v>
      </c>
      <c r="B35" s="103">
        <v>0</v>
      </c>
      <c r="D35" s="97">
        <v>0</v>
      </c>
      <c r="F35" s="97">
        <v>0</v>
      </c>
      <c r="G35" s="159">
        <f t="shared" si="1"/>
        <v>0</v>
      </c>
      <c r="H35" s="98">
        <f t="shared" si="3"/>
        <v>0</v>
      </c>
      <c r="I35" s="97">
        <f t="shared" si="3"/>
        <v>0</v>
      </c>
      <c r="J35" s="116" t="str">
        <f t="shared" si="2"/>
        <v/>
      </c>
      <c r="K35" s="115"/>
    </row>
    <row r="36" spans="1:11">
      <c r="A36" s="102"/>
      <c r="B36" s="103">
        <v>0</v>
      </c>
      <c r="D36" s="97">
        <v>0</v>
      </c>
      <c r="F36" s="97">
        <f t="shared" si="3"/>
        <v>0</v>
      </c>
      <c r="G36" s="159">
        <f t="shared" si="1"/>
        <v>0</v>
      </c>
      <c r="H36" s="98">
        <f t="shared" si="3"/>
        <v>0</v>
      </c>
      <c r="I36" s="97">
        <f t="shared" si="3"/>
        <v>0</v>
      </c>
      <c r="J36" s="116" t="str">
        <f t="shared" si="2"/>
        <v/>
      </c>
      <c r="K36" s="115"/>
    </row>
    <row r="37" spans="1:11" ht="18.399999999999999" thickBot="1">
      <c r="A37" s="101"/>
      <c r="B37" s="104">
        <v>0</v>
      </c>
      <c r="D37" s="96">
        <v>0</v>
      </c>
      <c r="F37" s="96">
        <f t="shared" si="3"/>
        <v>0</v>
      </c>
      <c r="G37" s="159">
        <f t="shared" si="1"/>
        <v>0</v>
      </c>
      <c r="H37" s="98">
        <f t="shared" si="3"/>
        <v>0</v>
      </c>
      <c r="I37" s="96">
        <f t="shared" si="3"/>
        <v>0</v>
      </c>
      <c r="J37" s="116" t="str">
        <f t="shared" si="2"/>
        <v/>
      </c>
      <c r="K37" s="115"/>
    </row>
    <row r="38" spans="1:11" ht="18.399999999999999" thickBot="1">
      <c r="A38" s="80" t="s">
        <v>114</v>
      </c>
      <c r="B38" s="81">
        <f>SUM(B30:B37)</f>
        <v>0</v>
      </c>
      <c r="D38" s="86">
        <f>SUM(D30:D37)</f>
        <v>0</v>
      </c>
      <c r="F38" s="86">
        <f>SUM(F30:F37)</f>
        <v>0</v>
      </c>
      <c r="G38" s="86">
        <f t="shared" ref="G38:I38" si="4">SUM(G30:G37)</f>
        <v>0</v>
      </c>
      <c r="H38" s="86">
        <f t="shared" si="4"/>
        <v>0</v>
      </c>
      <c r="I38" s="86">
        <f t="shared" si="4"/>
        <v>0</v>
      </c>
    </row>
    <row r="39" spans="1:11" ht="18.399999999999999" thickBot="1">
      <c r="A39" s="87" t="s">
        <v>55</v>
      </c>
      <c r="B39" s="88" t="s">
        <v>312</v>
      </c>
    </row>
    <row r="40" spans="1:11">
      <c r="A40" s="181" t="s">
        <v>315</v>
      </c>
      <c r="B40" s="238" t="s">
        <v>35</v>
      </c>
    </row>
    <row r="41" spans="1:11">
      <c r="A41" s="182" t="s">
        <v>314</v>
      </c>
      <c r="B41" s="239"/>
    </row>
    <row r="42" spans="1:11">
      <c r="A42" s="182" t="s">
        <v>317</v>
      </c>
      <c r="B42" s="239"/>
    </row>
    <row r="43" spans="1:11">
      <c r="A43" s="182" t="str">
        <f>IF(B22="Business Asset Grant","Form 3                                                     (R)",IF(B22="Feasibility Study","Form 4                                                     (R)","Form 5                                                    (R)"))</f>
        <v>Form 5                                                    (R)</v>
      </c>
      <c r="B43" s="239"/>
    </row>
    <row r="44" spans="1:11">
      <c r="A44" s="182" t="s">
        <v>316</v>
      </c>
      <c r="B44" s="239"/>
      <c r="D44" s="242" t="str">
        <f>IF($B$22="Business Asset Grant","Confirmed Employees","")</f>
        <v/>
      </c>
    </row>
    <row r="45" spans="1:11" ht="18.399999999999999" thickBot="1">
      <c r="A45" s="182" t="str">
        <f>IF(B22="Feasibility Grant","Feasibility Study Support - Report Form  B47",IF(B22="Business Asset Grant","Number of Employees to be Maintained","Training Grant Support Report Form  (R)"))</f>
        <v>Training Grant Support Report Form  (R)</v>
      </c>
      <c r="B45" s="239"/>
    </row>
    <row r="46" spans="1:11">
      <c r="A46" s="182" t="s">
        <v>318</v>
      </c>
      <c r="B46" s="239"/>
      <c r="D46" s="326" t="s">
        <v>308</v>
      </c>
      <c r="E46" s="326" t="s">
        <v>22</v>
      </c>
    </row>
    <row r="47" spans="1:11">
      <c r="A47" s="182" t="s">
        <v>319</v>
      </c>
      <c r="B47" s="239"/>
      <c r="D47" s="329"/>
      <c r="E47" s="327"/>
    </row>
    <row r="48" spans="1:11">
      <c r="A48" s="182" t="s">
        <v>119</v>
      </c>
      <c r="B48" s="239"/>
      <c r="D48" s="329"/>
      <c r="E48" s="327"/>
    </row>
    <row r="49" spans="1:5">
      <c r="A49" s="182" t="s">
        <v>122</v>
      </c>
      <c r="B49" s="239"/>
      <c r="D49" s="329"/>
      <c r="E49" s="327"/>
    </row>
    <row r="50" spans="1:5">
      <c r="A50" s="182" t="str">
        <f>IF(B22="Training Grant","TriGraph Report  received","Validation Report Completed")</f>
        <v>TriGraph Report  received</v>
      </c>
      <c r="B50" s="239"/>
      <c r="D50" s="329"/>
      <c r="E50" s="327"/>
    </row>
    <row r="51" spans="1:5">
      <c r="A51" s="182" t="s">
        <v>320</v>
      </c>
      <c r="B51" s="239"/>
      <c r="D51" s="329"/>
      <c r="E51" s="327"/>
    </row>
    <row r="52" spans="1:5">
      <c r="A52" s="182" t="s">
        <v>321</v>
      </c>
      <c r="B52" s="239"/>
    </row>
    <row r="53" spans="1:5">
      <c r="A53" s="182" t="s">
        <v>120</v>
      </c>
      <c r="B53" s="239"/>
      <c r="D53" s="109" t="str">
        <f>IF(B53="","",IF(B53="Outstanding","",CONCATENATE("Now save Payment Letter worksheet as PDF")))</f>
        <v/>
      </c>
    </row>
    <row r="54" spans="1:5">
      <c r="A54" s="182" t="str">
        <f>IF(B22="Training Grant","Trigraph Inspection Completed","Inspection Completed")</f>
        <v>Trigraph Inspection Completed</v>
      </c>
      <c r="B54" s="239"/>
    </row>
    <row r="55" spans="1:5" ht="18.399999999999999" thickBot="1">
      <c r="A55" s="183" t="s">
        <v>322</v>
      </c>
      <c r="B55" s="240"/>
    </row>
    <row r="56" spans="1:5" ht="18.399999999999999" thickBot="1">
      <c r="A56" s="183" t="s">
        <v>247</v>
      </c>
      <c r="B56" s="240"/>
      <c r="D56" s="402"/>
    </row>
    <row r="57" spans="1:5" ht="18.399999999999999" thickBot="1">
      <c r="A57" s="401" t="s">
        <v>330</v>
      </c>
      <c r="B57" s="240"/>
      <c r="D57" s="403" t="str">
        <f>IF(B57="Outstanding","Check for Payment Release","")</f>
        <v/>
      </c>
    </row>
    <row r="58" spans="1:5" ht="18.399999999999999" thickBot="1">
      <c r="A58" s="401" t="s">
        <v>331</v>
      </c>
      <c r="B58" s="240"/>
      <c r="D58" s="403" t="str">
        <f>IF(B58="Outstanding","Check for Payment Release","")</f>
        <v/>
      </c>
    </row>
  </sheetData>
  <mergeCells count="2">
    <mergeCell ref="D2:E2"/>
    <mergeCell ref="D3:E3"/>
  </mergeCells>
  <conditionalFormatting sqref="B45">
    <cfRule type="expression" dxfId="78" priority="1">
      <formula>$A$45="Number of Employees to be Maintained"</formula>
    </cfRule>
  </conditionalFormatting>
  <conditionalFormatting sqref="D44">
    <cfRule type="expression" dxfId="77" priority="6">
      <formula>$B$22="Business Asset Grant"</formula>
    </cfRule>
  </conditionalFormatting>
  <conditionalFormatting sqref="D45">
    <cfRule type="expression" dxfId="76" priority="4">
      <formula>$B$22="Business Asset Grant"</formula>
    </cfRule>
  </conditionalFormatting>
  <conditionalFormatting sqref="F28:I38">
    <cfRule type="expression" dxfId="75" priority="9">
      <formula>$B$3&lt;2</formula>
    </cfRule>
  </conditionalFormatting>
  <dataValidations count="1">
    <dataValidation type="list" allowBlank="1" showInputMessage="1" showErrorMessage="1" errorTitle="Invalid Grant Type" sqref="B22" xr:uid="{00000000-0002-0000-0000-000000000000}">
      <formula1>"Training Grant,Business Asset Grant,RD&amp;I Grant,Employment Grant,Capital Grant,Feasibility Study"</formula1>
    </dataValidation>
  </dataValidations>
  <pageMargins left="0.7" right="0.7" top="0.75" bottom="0.75" header="0.3" footer="0.3"/>
  <pageSetup paperSize="9" scale="58" orientation="portrait" r:id="rId1"/>
  <colBreaks count="1" manualBreakCount="1">
    <brk id="5" max="53" man="1"/>
  </colBreaks>
  <ignoredErrors>
    <ignoredError sqref="G30 G31 G32:G37" 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87"/>
  <sheetViews>
    <sheetView topLeftCell="A36" zoomScaleNormal="100" workbookViewId="0">
      <selection activeCell="C3" sqref="C3"/>
    </sheetView>
  </sheetViews>
  <sheetFormatPr defaultColWidth="8.86328125" defaultRowHeight="14.25"/>
  <cols>
    <col min="1" max="1" width="9.1328125" style="380" customWidth="1"/>
    <col min="2" max="2" width="4" style="380" customWidth="1"/>
    <col min="3" max="3" width="10.53125" style="380" customWidth="1"/>
    <col min="4" max="4" width="9.1328125" style="380" customWidth="1"/>
    <col min="5" max="5" width="32.53125" style="380" customWidth="1"/>
    <col min="6" max="6" width="21.53125" style="380" customWidth="1"/>
    <col min="7" max="7" width="9.86328125" style="380" customWidth="1"/>
    <col min="8" max="8" width="35" style="380" customWidth="1"/>
    <col min="9" max="9" width="4" style="380" customWidth="1"/>
    <col min="10" max="10" width="21" style="380" customWidth="1"/>
    <col min="11" max="16384" width="8.86328125" style="380"/>
  </cols>
  <sheetData>
    <row r="1" spans="2:10">
      <c r="B1" s="138"/>
      <c r="C1" s="138"/>
      <c r="D1" s="138"/>
      <c r="E1" s="138"/>
      <c r="F1" s="138"/>
      <c r="G1" s="138"/>
      <c r="H1" s="138"/>
      <c r="I1" s="138"/>
    </row>
    <row r="2" spans="2:10" ht="21">
      <c r="B2" s="138"/>
      <c r="C2" s="138"/>
      <c r="D2" s="138"/>
      <c r="E2" s="138"/>
      <c r="F2" s="138"/>
      <c r="G2" s="138"/>
      <c r="H2" s="336" t="s">
        <v>92</v>
      </c>
      <c r="I2" s="336"/>
      <c r="J2" s="381"/>
    </row>
    <row r="3" spans="2:10" ht="14.65" thickBot="1">
      <c r="B3" s="138"/>
      <c r="C3" s="138"/>
      <c r="D3" s="138"/>
      <c r="E3" s="138"/>
      <c r="F3" s="138"/>
      <c r="G3" s="138"/>
      <c r="H3" s="138"/>
      <c r="I3" s="138"/>
    </row>
    <row r="4" spans="2:10">
      <c r="B4" s="138"/>
      <c r="C4" s="138"/>
      <c r="D4" s="138"/>
      <c r="E4" s="138"/>
      <c r="F4" s="138"/>
      <c r="G4" s="138"/>
      <c r="H4" s="410" t="s">
        <v>93</v>
      </c>
      <c r="I4" s="138"/>
    </row>
    <row r="5" spans="2:10" ht="14.65" thickBot="1">
      <c r="B5" s="138"/>
      <c r="C5" s="138"/>
      <c r="D5" s="138"/>
      <c r="E5" s="138"/>
      <c r="F5" s="138"/>
      <c r="G5" s="138"/>
      <c r="H5" s="411" t="s">
        <v>94</v>
      </c>
      <c r="I5" s="138"/>
    </row>
    <row r="6" spans="2:10">
      <c r="B6" s="138"/>
      <c r="C6" s="138"/>
      <c r="D6" s="138"/>
      <c r="E6" s="138"/>
      <c r="F6" s="138"/>
      <c r="G6" s="138"/>
      <c r="H6" s="138"/>
      <c r="I6" s="138"/>
    </row>
    <row r="7" spans="2:10" ht="14.65" thickBot="1">
      <c r="B7" s="138"/>
      <c r="C7" s="138"/>
      <c r="D7" s="138"/>
      <c r="E7" s="138"/>
      <c r="F7" s="138"/>
      <c r="G7" s="138"/>
      <c r="H7" s="138"/>
      <c r="I7" s="138"/>
    </row>
    <row r="8" spans="2:10" ht="30.75" customHeight="1" thickBot="1">
      <c r="B8" s="138"/>
      <c r="C8" s="348" t="s">
        <v>97</v>
      </c>
      <c r="D8" s="447">
        <f>Control!B20</f>
        <v>0</v>
      </c>
      <c r="E8" s="448"/>
      <c r="F8" s="348"/>
      <c r="G8" s="418" t="s">
        <v>22</v>
      </c>
      <c r="H8" s="349">
        <f>Control!B46</f>
        <v>0</v>
      </c>
      <c r="I8" s="337"/>
      <c r="J8" s="382"/>
    </row>
    <row r="9" spans="2:10" ht="30" customHeight="1" thickBot="1">
      <c r="B9" s="138"/>
      <c r="C9" s="338"/>
      <c r="D9" s="338"/>
      <c r="E9" s="338"/>
      <c r="F9" s="338"/>
      <c r="G9" s="338"/>
      <c r="H9" s="338"/>
      <c r="I9" s="338"/>
      <c r="J9" s="383"/>
    </row>
    <row r="10" spans="2:10" ht="30" customHeight="1" thickBot="1">
      <c r="B10" s="138"/>
      <c r="C10" s="348" t="s">
        <v>98</v>
      </c>
      <c r="D10" s="447" t="str">
        <f>Control!B5</f>
        <v xml:space="preserve"> </v>
      </c>
      <c r="E10" s="448"/>
      <c r="F10" s="348"/>
      <c r="G10" s="418" t="s">
        <v>84</v>
      </c>
      <c r="H10" s="350" t="s">
        <v>85</v>
      </c>
      <c r="I10" s="339"/>
      <c r="J10" s="384"/>
    </row>
    <row r="11" spans="2:10" ht="30" customHeight="1" thickBot="1">
      <c r="B11" s="138"/>
      <c r="C11" s="340"/>
      <c r="D11" s="340"/>
      <c r="E11" s="339"/>
      <c r="F11" s="340"/>
      <c r="G11" s="340"/>
      <c r="H11" s="339"/>
      <c r="I11" s="339"/>
      <c r="J11" s="384"/>
    </row>
    <row r="12" spans="2:10" ht="30" customHeight="1" thickTop="1">
      <c r="B12" s="138"/>
      <c r="C12" s="351" t="s">
        <v>121</v>
      </c>
      <c r="D12" s="449" t="str">
        <f>CONCATENATE(Control!B13," - Project No. ",Control!B2," - Claim ",Control!B3)</f>
        <v xml:space="preserve">  - Project No.   - Claim 1</v>
      </c>
      <c r="E12" s="450"/>
      <c r="F12" s="450"/>
      <c r="G12" s="450"/>
      <c r="H12" s="450"/>
      <c r="I12" s="393"/>
      <c r="J12" s="385"/>
    </row>
    <row r="13" spans="2:10" ht="30" customHeight="1" thickBot="1">
      <c r="B13" s="138"/>
      <c r="C13" s="352" t="str">
        <f>IF(Control!B22="Feasibility Grant",CONCATENATE("Attached: Feasibility Study Support - Report Form and AAA to ",TEXT(Control!B44,"dd mmm yyy")),IF(Control!B22="Training Grant",CONCATENATE("Attached: Training Grant Support - Report Form and AAA to ",TEXT(Control!B44,"dd mmm yyy")),CONCATENATE("Attached: AAA to ",TEXT(Control!B44,"dd mmm yyy"))))</f>
        <v>Attached: Training Grant Support - Report Form and AAA to 00 Jan 1900</v>
      </c>
      <c r="D13" s="352"/>
      <c r="E13" s="353"/>
      <c r="F13" s="353"/>
      <c r="G13" s="353"/>
      <c r="H13" s="353"/>
      <c r="I13" s="341"/>
      <c r="J13" s="386"/>
    </row>
    <row r="14" spans="2:10" ht="17.25" thickTop="1">
      <c r="B14" s="138"/>
      <c r="C14" s="342"/>
      <c r="D14" s="342"/>
      <c r="E14" s="342"/>
      <c r="F14" s="342"/>
      <c r="G14" s="342"/>
      <c r="H14" s="342"/>
      <c r="I14" s="342"/>
      <c r="J14" s="387"/>
    </row>
    <row r="15" spans="2:10" ht="16.899999999999999">
      <c r="B15" s="138"/>
      <c r="C15" s="342" t="str">
        <f>CONCATENATE("The above company was approved a ",Control!B22," by the ",Control!B23," on ",TEXT(Control!B24,"dd/mm/yyyy"),".  The following")</f>
        <v>The above company was approved a Training Grant by the   on  .  The following</v>
      </c>
      <c r="D15" s="342"/>
      <c r="E15" s="342"/>
      <c r="F15" s="342"/>
      <c r="G15" s="342"/>
      <c r="H15" s="342"/>
      <c r="I15" s="342"/>
      <c r="J15" s="387"/>
    </row>
    <row r="16" spans="2:10" ht="16.899999999999999">
      <c r="B16" s="138"/>
      <c r="C16" s="342" t="s">
        <v>95</v>
      </c>
      <c r="D16" s="342"/>
      <c r="E16" s="342"/>
      <c r="F16" s="342"/>
      <c r="G16" s="342"/>
      <c r="H16" s="342"/>
      <c r="I16" s="342"/>
      <c r="J16" s="387"/>
    </row>
    <row r="17" spans="2:10" ht="16.899999999999999">
      <c r="B17" s="138"/>
      <c r="C17" s="342"/>
      <c r="D17" s="342"/>
      <c r="E17" s="342"/>
      <c r="F17" s="342"/>
      <c r="G17" s="342"/>
      <c r="H17" s="342"/>
      <c r="I17" s="342"/>
      <c r="J17" s="387"/>
    </row>
    <row r="18" spans="2:10" ht="48.6" customHeight="1">
      <c r="B18" s="138"/>
      <c r="C18" s="354" t="str">
        <f>IF(Control!B22="Business Asset Grant","","A.")</f>
        <v>A.</v>
      </c>
      <c r="D18" s="355" t="str">
        <f>IF(Control!B22="Training Grant","The company shall furnish to IDA a report containing an overview of the Training and an",IF(Control!B22="Feasibility Study","The Company shall submit a satisfactory report on the findings of the study (report attached)",""))</f>
        <v>The company shall furnish to IDA a report containing an overview of the Training and an</v>
      </c>
      <c r="E18" s="342"/>
      <c r="F18" s="342"/>
      <c r="G18" s="342"/>
      <c r="H18" s="342"/>
      <c r="I18" s="342"/>
      <c r="J18" s="387"/>
    </row>
    <row r="19" spans="2:10" ht="16.899999999999999">
      <c r="B19" s="138"/>
      <c r="C19" s="138"/>
      <c r="D19" s="355" t="str">
        <f>IF(Control!B22="Training Grant","evaluation of the impact of the training.","")</f>
        <v>evaluation of the impact of the training.</v>
      </c>
      <c r="E19" s="342"/>
      <c r="F19" s="409" t="str">
        <f>IF(Control!B22="Training Grant"," (Training Grant Support – Report Form attached)","")</f>
        <v xml:space="preserve"> (Training Grant Support – Report Form attached)</v>
      </c>
      <c r="G19" s="342"/>
      <c r="H19" s="342"/>
      <c r="I19" s="342"/>
      <c r="J19" s="387"/>
    </row>
    <row r="20" spans="2:10" ht="16.899999999999999">
      <c r="B20" s="138"/>
      <c r="C20" s="342"/>
      <c r="D20" s="355"/>
      <c r="E20" s="342"/>
      <c r="F20" s="355"/>
      <c r="G20" s="355"/>
      <c r="H20" s="342"/>
      <c r="I20" s="342"/>
      <c r="J20" s="387"/>
    </row>
    <row r="21" spans="2:10" ht="16.899999999999999">
      <c r="B21" s="138"/>
      <c r="C21" s="354" t="str">
        <f>IF(Control!B22="Business Asset Grant","A.","B.")</f>
        <v>B.</v>
      </c>
      <c r="D21" s="355" t="s">
        <v>96</v>
      </c>
      <c r="E21" s="342"/>
      <c r="F21" s="342"/>
      <c r="G21" s="342"/>
      <c r="H21" s="342"/>
      <c r="I21" s="342"/>
      <c r="J21" s="387"/>
    </row>
    <row r="22" spans="2:10" ht="48.6" customHeight="1">
      <c r="B22" s="138"/>
      <c r="C22" s="354"/>
      <c r="D22" s="356" t="str">
        <f>CONCATENATE("agreement.  ( AAA - ",TEXT(Control!B44,"dd mmm yyy")," - Attached)")</f>
        <v>agreement.  ( AAA - 00 Jan 1900 - Attached)</v>
      </c>
      <c r="E22" s="342"/>
      <c r="F22" s="342"/>
      <c r="G22" s="342"/>
      <c r="H22" s="342"/>
      <c r="I22" s="342"/>
      <c r="J22" s="387"/>
    </row>
    <row r="23" spans="2:10" ht="16.899999999999999">
      <c r="B23" s="138"/>
      <c r="C23" s="342" t="s">
        <v>99</v>
      </c>
      <c r="D23" s="355"/>
      <c r="E23" s="342"/>
      <c r="F23" s="342"/>
      <c r="G23" s="342"/>
      <c r="H23" s="342"/>
      <c r="I23" s="342"/>
      <c r="J23" s="387"/>
    </row>
    <row r="24" spans="2:10" ht="17.25" thickBot="1">
      <c r="B24" s="138"/>
      <c r="C24" s="342"/>
      <c r="D24" s="342"/>
      <c r="E24" s="342"/>
      <c r="F24" s="342"/>
      <c r="G24" s="342"/>
      <c r="H24" s="342"/>
      <c r="I24" s="342"/>
      <c r="J24" s="387"/>
    </row>
    <row r="25" spans="2:10" ht="17.649999999999999" thickTop="1" thickBot="1">
      <c r="B25" s="138"/>
      <c r="C25" s="342"/>
      <c r="D25" s="342"/>
      <c r="E25" s="357" t="s">
        <v>86</v>
      </c>
      <c r="F25" s="358" t="str">
        <f>Control!B2</f>
        <v xml:space="preserve"> </v>
      </c>
      <c r="G25" s="342"/>
      <c r="H25" s="342"/>
      <c r="I25" s="342"/>
      <c r="J25" s="387"/>
    </row>
    <row r="26" spans="2:10" ht="17.25" thickBot="1">
      <c r="B26" s="138"/>
      <c r="C26" s="342"/>
      <c r="D26" s="342"/>
      <c r="E26" s="359"/>
      <c r="F26" s="360" t="s">
        <v>87</v>
      </c>
      <c r="G26" s="342"/>
      <c r="H26" s="342"/>
      <c r="I26" s="342"/>
      <c r="J26" s="387"/>
    </row>
    <row r="27" spans="2:10" ht="17.25" thickBot="1">
      <c r="B27" s="138"/>
      <c r="C27" s="342"/>
      <c r="D27" s="342"/>
      <c r="E27" s="359" t="s">
        <v>88</v>
      </c>
      <c r="F27" s="362" t="str">
        <f>Control!B25</f>
        <v xml:space="preserve"> </v>
      </c>
      <c r="G27" s="342"/>
      <c r="H27" s="342"/>
      <c r="I27" s="342"/>
      <c r="J27" s="387"/>
    </row>
    <row r="28" spans="2:10" ht="48.6" customHeight="1" thickBot="1">
      <c r="B28" s="138"/>
      <c r="C28" s="342"/>
      <c r="D28" s="342"/>
      <c r="E28" s="359" t="s">
        <v>89</v>
      </c>
      <c r="F28" s="362">
        <f>IF(Control!B3&gt;1,'Claim History'!D25*Control!B26,0)</f>
        <v>0</v>
      </c>
      <c r="G28" s="364"/>
      <c r="H28" s="342"/>
      <c r="I28" s="342"/>
      <c r="J28" s="387"/>
    </row>
    <row r="29" spans="2:10" ht="17.25" thickBot="1">
      <c r="B29" s="138"/>
      <c r="C29" s="342"/>
      <c r="D29" s="342"/>
      <c r="E29" s="359" t="s">
        <v>90</v>
      </c>
      <c r="F29" s="362">
        <f>Control!B4</f>
        <v>0</v>
      </c>
      <c r="G29" s="361"/>
      <c r="H29" s="342"/>
      <c r="I29" s="342"/>
      <c r="J29" s="387"/>
    </row>
    <row r="30" spans="2:10" ht="16.899999999999999">
      <c r="B30" s="138"/>
      <c r="C30" s="342"/>
      <c r="D30" s="342"/>
      <c r="E30" s="365"/>
      <c r="F30" s="366"/>
      <c r="G30" s="363"/>
      <c r="H30" s="342"/>
      <c r="I30" s="342"/>
      <c r="J30" s="387"/>
    </row>
    <row r="31" spans="2:10" ht="16.899999999999999">
      <c r="B31" s="138"/>
      <c r="C31" s="342"/>
      <c r="D31" s="342"/>
      <c r="E31" s="138"/>
      <c r="F31" s="138"/>
      <c r="G31" s="361"/>
      <c r="H31" s="342"/>
      <c r="I31" s="342"/>
      <c r="J31" s="387"/>
    </row>
    <row r="32" spans="2:10" ht="16.899999999999999">
      <c r="B32" s="138"/>
      <c r="C32" s="342" t="s">
        <v>100</v>
      </c>
      <c r="D32" s="342"/>
      <c r="E32" s="138"/>
      <c r="F32" s="138"/>
      <c r="G32" s="363"/>
      <c r="H32" s="342"/>
      <c r="I32" s="342"/>
      <c r="J32" s="387"/>
    </row>
    <row r="33" spans="2:10" ht="16.899999999999999">
      <c r="B33" s="138"/>
      <c r="C33" s="342" t="s">
        <v>101</v>
      </c>
      <c r="D33" s="342"/>
      <c r="E33" s="138"/>
      <c r="F33" s="138"/>
      <c r="G33" s="363"/>
      <c r="H33" s="342"/>
      <c r="I33" s="342"/>
      <c r="J33" s="387"/>
    </row>
    <row r="34" spans="2:10" ht="16.899999999999999">
      <c r="B34" s="138"/>
      <c r="C34" s="342"/>
      <c r="D34" s="342"/>
      <c r="E34" s="342"/>
      <c r="F34" s="342"/>
      <c r="G34" s="342"/>
      <c r="H34" s="342"/>
      <c r="I34" s="342"/>
      <c r="J34" s="387"/>
    </row>
    <row r="35" spans="2:10" ht="16.899999999999999">
      <c r="B35" s="138"/>
      <c r="C35" s="367" t="s">
        <v>91</v>
      </c>
      <c r="D35" s="342"/>
      <c r="E35" s="342"/>
      <c r="F35" s="342"/>
      <c r="G35" s="342"/>
      <c r="H35" s="342"/>
      <c r="I35" s="342"/>
      <c r="J35" s="387"/>
    </row>
    <row r="36" spans="2:10" ht="16.899999999999999">
      <c r="B36" s="138"/>
      <c r="C36" s="367"/>
      <c r="D36" s="342"/>
      <c r="E36" s="342"/>
      <c r="F36" s="342"/>
      <c r="G36" s="342"/>
      <c r="H36" s="342"/>
      <c r="I36" s="342"/>
      <c r="J36" s="387"/>
    </row>
    <row r="37" spans="2:10" ht="16.899999999999999">
      <c r="B37" s="138"/>
      <c r="C37" s="367"/>
      <c r="D37" s="342"/>
      <c r="E37" s="342"/>
      <c r="F37" s="342"/>
      <c r="G37" s="342"/>
      <c r="H37" s="342"/>
      <c r="I37" s="342"/>
      <c r="J37" s="387"/>
    </row>
    <row r="38" spans="2:10" ht="16.899999999999999">
      <c r="B38" s="138"/>
      <c r="C38" s="367"/>
      <c r="D38" s="342"/>
      <c r="E38" s="342"/>
      <c r="F38" s="342"/>
      <c r="G38" s="342"/>
      <c r="H38" s="342"/>
      <c r="I38" s="342"/>
      <c r="J38" s="387"/>
    </row>
    <row r="39" spans="2:10" ht="16.899999999999999">
      <c r="B39" s="138"/>
      <c r="C39" s="138"/>
      <c r="D39" s="342"/>
      <c r="E39" s="342"/>
      <c r="F39" s="342"/>
      <c r="G39" s="342"/>
      <c r="H39" s="342"/>
      <c r="I39" s="342"/>
      <c r="J39" s="387"/>
    </row>
    <row r="40" spans="2:10" ht="16.899999999999999">
      <c r="B40" s="138"/>
      <c r="C40" s="138"/>
      <c r="D40" s="342"/>
      <c r="E40" s="342"/>
      <c r="F40" s="342"/>
      <c r="G40" s="342"/>
      <c r="H40" s="342"/>
      <c r="I40" s="342"/>
      <c r="J40" s="387"/>
    </row>
    <row r="41" spans="2:10" ht="16.899999999999999">
      <c r="B41" s="138"/>
      <c r="C41" s="355" t="str">
        <f>D10</f>
        <v xml:space="preserve"> </v>
      </c>
      <c r="D41" s="342"/>
      <c r="E41" s="342"/>
      <c r="F41" s="342"/>
      <c r="G41" s="342"/>
      <c r="H41" s="342"/>
      <c r="I41" s="342"/>
      <c r="J41" s="387"/>
    </row>
    <row r="42" spans="2:10" ht="16.899999999999999">
      <c r="B42" s="138"/>
      <c r="C42" s="342"/>
      <c r="D42" s="342"/>
      <c r="E42" s="342"/>
      <c r="F42" s="342"/>
      <c r="G42" s="342"/>
      <c r="H42" s="342"/>
      <c r="I42" s="342"/>
      <c r="J42" s="387"/>
    </row>
    <row r="43" spans="2:10" ht="16.899999999999999">
      <c r="B43" s="138"/>
      <c r="C43" s="342"/>
      <c r="D43" s="342"/>
      <c r="E43" s="342"/>
      <c r="F43" s="342"/>
      <c r="G43" s="342"/>
      <c r="H43" s="342"/>
      <c r="I43" s="342"/>
      <c r="J43" s="387"/>
    </row>
    <row r="44" spans="2:10" ht="16.899999999999999">
      <c r="C44" s="387"/>
      <c r="D44" s="387"/>
      <c r="E44" s="387"/>
      <c r="F44" s="387"/>
      <c r="G44" s="387"/>
      <c r="H44" s="387"/>
      <c r="I44" s="387"/>
      <c r="J44" s="387"/>
    </row>
    <row r="45" spans="2:10">
      <c r="B45" s="138"/>
      <c r="C45" s="138"/>
      <c r="D45" s="138"/>
      <c r="E45" s="138"/>
      <c r="F45" s="138"/>
      <c r="G45" s="138"/>
      <c r="H45" s="138"/>
      <c r="I45" s="138"/>
    </row>
    <row r="46" spans="2:10" ht="21">
      <c r="B46" s="138"/>
      <c r="C46" s="138"/>
      <c r="D46" s="138"/>
      <c r="E46" s="138"/>
      <c r="F46" s="138"/>
      <c r="G46" s="138"/>
      <c r="H46" s="336" t="s">
        <v>92</v>
      </c>
      <c r="I46" s="336"/>
      <c r="J46" s="381"/>
    </row>
    <row r="47" spans="2:10" ht="14.65" thickBot="1">
      <c r="B47" s="138"/>
      <c r="C47" s="138"/>
      <c r="D47" s="138"/>
      <c r="E47" s="138"/>
      <c r="F47" s="138"/>
      <c r="G47" s="138"/>
      <c r="H47" s="138"/>
      <c r="I47" s="138"/>
    </row>
    <row r="48" spans="2:10">
      <c r="B48" s="138"/>
      <c r="C48" s="138"/>
      <c r="D48" s="138"/>
      <c r="E48" s="138"/>
      <c r="F48" s="138"/>
      <c r="G48" s="138"/>
      <c r="H48" s="410" t="s">
        <v>93</v>
      </c>
      <c r="I48" s="138"/>
    </row>
    <row r="49" spans="2:10" ht="14.65" thickBot="1">
      <c r="B49" s="138"/>
      <c r="C49" s="138"/>
      <c r="D49" s="138"/>
      <c r="E49" s="138"/>
      <c r="F49" s="138"/>
      <c r="G49" s="138"/>
      <c r="H49" s="411" t="s">
        <v>94</v>
      </c>
      <c r="I49" s="138"/>
    </row>
    <row r="50" spans="2:10">
      <c r="B50" s="138"/>
      <c r="C50" s="138"/>
      <c r="D50" s="138"/>
      <c r="E50" s="138"/>
      <c r="F50" s="138"/>
      <c r="G50" s="138"/>
      <c r="H50" s="138"/>
      <c r="I50" s="138"/>
    </row>
    <row r="51" spans="2:10" ht="14.65" thickBot="1">
      <c r="B51" s="138"/>
      <c r="C51" s="138"/>
      <c r="D51" s="138"/>
      <c r="E51" s="138"/>
      <c r="F51" s="138"/>
      <c r="G51" s="138"/>
      <c r="H51" s="138"/>
      <c r="I51" s="138"/>
    </row>
    <row r="52" spans="2:10" ht="30" customHeight="1" thickBot="1">
      <c r="B52" s="138"/>
      <c r="C52" s="348" t="s">
        <v>97</v>
      </c>
      <c r="D52" s="447" t="str">
        <f>D10</f>
        <v xml:space="preserve"> </v>
      </c>
      <c r="E52" s="448"/>
      <c r="F52" s="448"/>
      <c r="G52" s="348" t="s">
        <v>22</v>
      </c>
      <c r="H52" s="348">
        <f>H86</f>
        <v>0</v>
      </c>
      <c r="I52" s="340"/>
      <c r="J52" s="385"/>
    </row>
    <row r="53" spans="2:10" ht="30" customHeight="1" thickBot="1">
      <c r="B53" s="138"/>
      <c r="C53" s="343"/>
      <c r="D53" s="368"/>
      <c r="E53" s="368"/>
      <c r="F53" s="368"/>
      <c r="G53" s="343"/>
      <c r="H53" s="343"/>
      <c r="I53" s="343"/>
      <c r="J53" s="388"/>
    </row>
    <row r="54" spans="2:10" ht="30" customHeight="1" thickBot="1">
      <c r="B54" s="138"/>
      <c r="C54" s="348" t="s">
        <v>98</v>
      </c>
      <c r="D54" s="447">
        <f>D8</f>
        <v>0</v>
      </c>
      <c r="E54" s="448"/>
      <c r="F54" s="448"/>
      <c r="G54" s="348" t="s">
        <v>84</v>
      </c>
      <c r="H54" s="348"/>
      <c r="I54" s="340"/>
      <c r="J54" s="385"/>
    </row>
    <row r="55" spans="2:10" ht="30" customHeight="1" thickBot="1">
      <c r="B55" s="138"/>
      <c r="C55" s="369"/>
      <c r="D55" s="344"/>
      <c r="E55" s="344"/>
      <c r="F55" s="344"/>
      <c r="G55" s="369"/>
      <c r="H55" s="344"/>
      <c r="I55" s="344"/>
      <c r="J55" s="389"/>
    </row>
    <row r="56" spans="2:10" ht="30" customHeight="1" thickTop="1">
      <c r="B56" s="138"/>
      <c r="C56" s="351" t="s">
        <v>121</v>
      </c>
      <c r="D56" s="449" t="str">
        <f>D12</f>
        <v xml:space="preserve">  - Project No.   - Claim 1</v>
      </c>
      <c r="E56" s="450"/>
      <c r="F56" s="450"/>
      <c r="G56" s="450"/>
      <c r="H56" s="450"/>
      <c r="I56" s="393"/>
      <c r="J56" s="385"/>
    </row>
    <row r="57" spans="2:10" ht="30" customHeight="1" thickBot="1">
      <c r="B57" s="138"/>
      <c r="C57" s="352" t="str">
        <f>C13</f>
        <v>Attached: Training Grant Support - Report Form and AAA to 00 Jan 1900</v>
      </c>
      <c r="D57" s="352"/>
      <c r="E57" s="353"/>
      <c r="F57" s="353"/>
      <c r="G57" s="353"/>
      <c r="H57" s="353"/>
      <c r="I57" s="341"/>
      <c r="J57" s="386"/>
    </row>
    <row r="58" spans="2:10" ht="47.65" thickTop="1">
      <c r="B58" s="138"/>
      <c r="C58" s="370"/>
      <c r="D58" s="371" t="s">
        <v>304</v>
      </c>
      <c r="E58" s="372"/>
      <c r="F58" s="345"/>
      <c r="G58" s="138"/>
      <c r="H58" s="138"/>
      <c r="I58" s="138"/>
    </row>
    <row r="59" spans="2:10">
      <c r="B59" s="138"/>
      <c r="C59" s="345"/>
      <c r="D59" s="373"/>
      <c r="E59" s="345"/>
      <c r="F59" s="345"/>
      <c r="G59" s="138"/>
      <c r="H59" s="138"/>
      <c r="I59" s="138"/>
    </row>
    <row r="60" spans="2:10" ht="17.45" customHeight="1">
      <c r="B60" s="138"/>
      <c r="C60" s="445" t="str">
        <f>IF(Control!B22="Business Asset Grant","I confirm that condition A has been complied with and that it is now in order to make"," I confirm that conditions A &amp; B have been complied with and that it is now in order to make")</f>
        <v xml:space="preserve"> I confirm that conditions A &amp; B have been complied with and that it is now in order to make</v>
      </c>
      <c r="D60" s="446"/>
      <c r="E60" s="446"/>
      <c r="F60" s="446"/>
      <c r="G60" s="446"/>
      <c r="H60" s="446"/>
      <c r="I60" s="345"/>
      <c r="J60" s="390"/>
    </row>
    <row r="61" spans="2:10" ht="17.45" customHeight="1">
      <c r="B61" s="138"/>
      <c r="C61" s="374" t="s">
        <v>103</v>
      </c>
      <c r="D61" s="345"/>
      <c r="E61" s="345"/>
      <c r="F61" s="345"/>
      <c r="G61" s="138"/>
      <c r="H61" s="138"/>
      <c r="I61" s="138"/>
    </row>
    <row r="62" spans="2:10" ht="47.25">
      <c r="B62" s="138"/>
      <c r="C62" s="370"/>
      <c r="D62" s="375" t="s">
        <v>305</v>
      </c>
      <c r="E62" s="138"/>
      <c r="F62" s="345"/>
      <c r="G62" s="138"/>
      <c r="H62" s="138"/>
      <c r="I62" s="138"/>
    </row>
    <row r="63" spans="2:10">
      <c r="B63" s="138"/>
      <c r="C63" s="373"/>
      <c r="D63" s="138"/>
      <c r="E63" s="138"/>
      <c r="F63" s="138"/>
      <c r="G63" s="138"/>
      <c r="H63" s="138"/>
      <c r="I63" s="138"/>
    </row>
    <row r="64" spans="2:10" ht="16.899999999999999">
      <c r="B64" s="138"/>
      <c r="C64" s="342" t="s">
        <v>104</v>
      </c>
      <c r="D64" s="138"/>
      <c r="E64" s="138"/>
      <c r="F64" s="138"/>
      <c r="G64" s="138"/>
      <c r="H64" s="138"/>
      <c r="I64" s="138"/>
    </row>
    <row r="65" spans="2:10" ht="16.899999999999999">
      <c r="B65" s="138"/>
      <c r="C65" s="342" t="s">
        <v>105</v>
      </c>
      <c r="D65" s="138"/>
      <c r="E65" s="138"/>
      <c r="F65" s="138"/>
      <c r="G65" s="138"/>
      <c r="H65" s="138"/>
      <c r="I65" s="138"/>
    </row>
    <row r="66" spans="2:10" ht="47.25">
      <c r="B66" s="138"/>
      <c r="C66" s="376"/>
      <c r="D66" s="375" t="s">
        <v>307</v>
      </c>
      <c r="E66" s="377"/>
      <c r="F66" s="138"/>
      <c r="G66" s="138"/>
      <c r="H66" s="138"/>
      <c r="I66" s="138"/>
    </row>
    <row r="67" spans="2:10">
      <c r="B67" s="138"/>
      <c r="C67" s="373"/>
      <c r="D67" s="138"/>
      <c r="E67" s="138"/>
      <c r="F67" s="138"/>
      <c r="G67" s="138"/>
      <c r="H67" s="138"/>
      <c r="I67" s="138"/>
    </row>
    <row r="68" spans="2:10" ht="16.899999999999999">
      <c r="B68" s="138"/>
      <c r="C68" s="342" t="s">
        <v>106</v>
      </c>
      <c r="D68" s="138"/>
      <c r="E68" s="138"/>
      <c r="F68" s="138"/>
      <c r="G68" s="138"/>
      <c r="H68" s="138"/>
      <c r="I68" s="138"/>
    </row>
    <row r="69" spans="2:10" ht="16.899999999999999">
      <c r="B69" s="138"/>
      <c r="C69" s="342" t="s">
        <v>107</v>
      </c>
      <c r="D69" s="138"/>
      <c r="E69" s="138"/>
      <c r="F69" s="138"/>
      <c r="G69" s="138"/>
      <c r="H69" s="138"/>
      <c r="I69" s="138"/>
    </row>
    <row r="70" spans="2:10" ht="16.899999999999999">
      <c r="B70" s="138"/>
      <c r="C70" s="342" t="s">
        <v>108</v>
      </c>
      <c r="D70" s="138"/>
      <c r="E70" s="138"/>
      <c r="F70" s="138"/>
      <c r="G70" s="138"/>
      <c r="H70" s="138"/>
      <c r="I70" s="138"/>
    </row>
    <row r="71" spans="2:10" ht="16.899999999999999">
      <c r="B71" s="138"/>
      <c r="C71" s="342" t="s">
        <v>109</v>
      </c>
      <c r="D71" s="138"/>
      <c r="E71" s="138"/>
      <c r="F71" s="138"/>
      <c r="G71" s="138"/>
      <c r="H71" s="138"/>
      <c r="I71" s="138"/>
    </row>
    <row r="72" spans="2:10" ht="47.25">
      <c r="B72" s="138"/>
      <c r="C72" s="376"/>
      <c r="D72" s="378" t="s">
        <v>306</v>
      </c>
      <c r="E72" s="138"/>
      <c r="F72" s="138"/>
      <c r="G72" s="138"/>
      <c r="H72" s="138"/>
      <c r="I72" s="138"/>
    </row>
    <row r="73" spans="2:10" ht="17.45" customHeight="1">
      <c r="B73" s="138"/>
      <c r="C73" s="342" t="s">
        <v>110</v>
      </c>
      <c r="D73" s="138"/>
      <c r="E73" s="138"/>
      <c r="F73" s="138"/>
      <c r="G73" s="138"/>
      <c r="H73" s="138"/>
      <c r="I73" s="138"/>
    </row>
    <row r="74" spans="2:10" ht="17.45" customHeight="1">
      <c r="B74" s="138"/>
      <c r="C74" s="367" t="s">
        <v>111</v>
      </c>
      <c r="D74" s="138"/>
      <c r="E74" s="138"/>
      <c r="F74" s="138"/>
      <c r="G74" s="138"/>
      <c r="H74" s="138"/>
      <c r="I74" s="138"/>
    </row>
    <row r="75" spans="2:10" ht="17.45" customHeight="1">
      <c r="B75" s="138"/>
      <c r="C75" s="138"/>
      <c r="D75" s="138"/>
      <c r="E75" s="138"/>
      <c r="F75" s="138"/>
      <c r="G75" s="138"/>
      <c r="H75" s="138"/>
      <c r="I75" s="138"/>
    </row>
    <row r="76" spans="2:10" ht="17.45" customHeight="1">
      <c r="B76" s="138"/>
      <c r="C76" s="367" t="s">
        <v>102</v>
      </c>
      <c r="D76" s="138"/>
      <c r="E76" s="138"/>
      <c r="F76" s="138"/>
      <c r="G76" s="138"/>
      <c r="H76" s="138"/>
      <c r="I76" s="138"/>
    </row>
    <row r="77" spans="2:10">
      <c r="B77" s="138"/>
      <c r="C77" s="138"/>
      <c r="D77" s="138"/>
      <c r="E77" s="138"/>
      <c r="F77" s="138"/>
      <c r="G77" s="138"/>
      <c r="H77" s="138"/>
      <c r="I77" s="138"/>
    </row>
    <row r="78" spans="2:10">
      <c r="B78" s="138"/>
      <c r="C78" s="138"/>
      <c r="D78" s="138"/>
      <c r="E78" s="138"/>
      <c r="F78" s="138"/>
      <c r="G78" s="138"/>
      <c r="H78" s="138"/>
      <c r="I78" s="138"/>
    </row>
    <row r="79" spans="2:10" ht="29" customHeight="1">
      <c r="B79" s="138"/>
      <c r="C79" s="367"/>
      <c r="D79" s="416" t="s">
        <v>270</v>
      </c>
      <c r="E79" s="413"/>
      <c r="F79" s="342"/>
      <c r="G79" s="417" t="s">
        <v>270</v>
      </c>
      <c r="H79" s="413"/>
      <c r="I79" s="345"/>
      <c r="J79" s="390"/>
    </row>
    <row r="80" spans="2:10" ht="16.899999999999999">
      <c r="B80" s="138"/>
      <c r="C80" s="367"/>
      <c r="D80" s="416"/>
      <c r="E80" s="345"/>
      <c r="F80" s="138"/>
      <c r="G80" s="138"/>
      <c r="H80" s="138"/>
      <c r="I80" s="138"/>
    </row>
    <row r="81" spans="2:10" ht="16.899999999999999">
      <c r="B81" s="138"/>
      <c r="C81" s="367"/>
      <c r="D81" s="416"/>
      <c r="E81" s="345"/>
      <c r="F81" s="138"/>
      <c r="G81" s="138"/>
      <c r="H81" s="138"/>
      <c r="I81" s="138"/>
    </row>
    <row r="82" spans="2:10" ht="16.899999999999999">
      <c r="B82" s="138"/>
      <c r="C82" s="367"/>
      <c r="D82" s="416" t="s">
        <v>323</v>
      </c>
      <c r="E82" s="414">
        <f>D8</f>
        <v>0</v>
      </c>
      <c r="F82" s="367"/>
      <c r="G82" s="416" t="s">
        <v>323</v>
      </c>
      <c r="H82" s="419"/>
      <c r="I82" s="346"/>
      <c r="J82" s="391"/>
    </row>
    <row r="83" spans="2:10" ht="16.899999999999999">
      <c r="B83" s="138"/>
      <c r="C83" s="342"/>
      <c r="D83" s="415"/>
      <c r="E83" s="138"/>
      <c r="F83" s="138"/>
      <c r="G83" s="138"/>
      <c r="H83" s="138"/>
      <c r="I83" s="138"/>
    </row>
    <row r="84" spans="2:10" ht="16.899999999999999">
      <c r="B84" s="138"/>
      <c r="C84" s="412"/>
      <c r="D84" s="415" t="s">
        <v>324</v>
      </c>
      <c r="E84" s="379"/>
      <c r="F84" s="342"/>
      <c r="G84" s="415" t="s">
        <v>324</v>
      </c>
      <c r="H84" s="347"/>
      <c r="I84" s="347"/>
      <c r="J84" s="392"/>
    </row>
    <row r="85" spans="2:10" ht="16.899999999999999">
      <c r="B85" s="138"/>
      <c r="C85" s="342"/>
      <c r="D85" s="415"/>
      <c r="E85" s="138"/>
      <c r="F85" s="138"/>
      <c r="G85" s="138"/>
      <c r="H85" s="138"/>
      <c r="I85" s="138"/>
    </row>
    <row r="86" spans="2:10" ht="16.899999999999999">
      <c r="B86" s="138"/>
      <c r="C86" s="412"/>
      <c r="D86" s="415" t="s">
        <v>325</v>
      </c>
      <c r="E86" s="396"/>
      <c r="F86" s="342"/>
      <c r="G86" s="415" t="s">
        <v>325</v>
      </c>
      <c r="H86" s="347"/>
      <c r="I86" s="347"/>
      <c r="J86" s="392"/>
    </row>
    <row r="87" spans="2:10">
      <c r="B87" s="138"/>
      <c r="C87" s="138"/>
      <c r="D87" s="138"/>
      <c r="E87" s="138"/>
      <c r="F87" s="138"/>
      <c r="G87" s="138"/>
      <c r="H87" s="138"/>
      <c r="I87" s="138"/>
    </row>
  </sheetData>
  <mergeCells count="7">
    <mergeCell ref="C60:H60"/>
    <mergeCell ref="D10:E10"/>
    <mergeCell ref="D8:E8"/>
    <mergeCell ref="D12:H12"/>
    <mergeCell ref="D54:F54"/>
    <mergeCell ref="D52:F52"/>
    <mergeCell ref="D56:H56"/>
  </mergeCells>
  <pageMargins left="0.25" right="0.25"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4" r:id="rId4" name="Check Box 22">
              <controlPr locked="0" defaultSize="0" autoFill="0" autoLine="0" autoPict="0" altText="_x000a_">
                <anchor moveWithCells="1">
                  <from>
                    <xdr:col>2</xdr:col>
                    <xdr:colOff>9525</xdr:colOff>
                    <xdr:row>57</xdr:row>
                    <xdr:rowOff>152400</xdr:rowOff>
                  </from>
                  <to>
                    <xdr:col>3</xdr:col>
                    <xdr:colOff>219075</xdr:colOff>
                    <xdr:row>57</xdr:row>
                    <xdr:rowOff>533400</xdr:rowOff>
                  </to>
                </anchor>
              </controlPr>
            </control>
          </mc:Choice>
        </mc:AlternateContent>
        <mc:AlternateContent xmlns:mc="http://schemas.openxmlformats.org/markup-compatibility/2006">
          <mc:Choice Requires="x14">
            <control shapeId="3095" r:id="rId5" name="Check Box 23">
              <controlPr locked="0" defaultSize="0" autoFill="0" autoLine="0" autoPict="0" altText="_x000a_">
                <anchor moveWithCells="1">
                  <from>
                    <xdr:col>2</xdr:col>
                    <xdr:colOff>9525</xdr:colOff>
                    <xdr:row>61</xdr:row>
                    <xdr:rowOff>152400</xdr:rowOff>
                  </from>
                  <to>
                    <xdr:col>3</xdr:col>
                    <xdr:colOff>219075</xdr:colOff>
                    <xdr:row>61</xdr:row>
                    <xdr:rowOff>533400</xdr:rowOff>
                  </to>
                </anchor>
              </controlPr>
            </control>
          </mc:Choice>
        </mc:AlternateContent>
        <mc:AlternateContent xmlns:mc="http://schemas.openxmlformats.org/markup-compatibility/2006">
          <mc:Choice Requires="x14">
            <control shapeId="3096" r:id="rId6" name="Check Box 24">
              <controlPr locked="0" defaultSize="0" autoFill="0" autoLine="0" autoPict="0" altText="_x000a_">
                <anchor moveWithCells="1">
                  <from>
                    <xdr:col>2</xdr:col>
                    <xdr:colOff>9525</xdr:colOff>
                    <xdr:row>71</xdr:row>
                    <xdr:rowOff>152400</xdr:rowOff>
                  </from>
                  <to>
                    <xdr:col>2</xdr:col>
                    <xdr:colOff>447675</xdr:colOff>
                    <xdr:row>71</xdr:row>
                    <xdr:rowOff>533400</xdr:rowOff>
                  </to>
                </anchor>
              </controlPr>
            </control>
          </mc:Choice>
        </mc:AlternateContent>
        <mc:AlternateContent xmlns:mc="http://schemas.openxmlformats.org/markup-compatibility/2006">
          <mc:Choice Requires="x14">
            <control shapeId="3097" r:id="rId7" name="Check Box 25">
              <controlPr locked="0" defaultSize="0" autoFill="0" autoLine="0" autoPict="0" altText="_x000a_">
                <anchor moveWithCells="1">
                  <from>
                    <xdr:col>2</xdr:col>
                    <xdr:colOff>9525</xdr:colOff>
                    <xdr:row>65</xdr:row>
                    <xdr:rowOff>152400</xdr:rowOff>
                  </from>
                  <to>
                    <xdr:col>2</xdr:col>
                    <xdr:colOff>442913</xdr:colOff>
                    <xdr:row>65</xdr:row>
                    <xdr:rowOff>533400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L58"/>
  <sheetViews>
    <sheetView topLeftCell="A21" zoomScaleNormal="100" workbookViewId="0">
      <selection activeCell="B39" sqref="B39"/>
    </sheetView>
  </sheetViews>
  <sheetFormatPr defaultRowHeight="14.25"/>
  <cols>
    <col min="1" max="1" width="11.53125" customWidth="1"/>
    <col min="2" max="2" width="11.6640625" customWidth="1"/>
  </cols>
  <sheetData>
    <row r="2" spans="1:11" ht="15.75">
      <c r="A2" s="451" t="s">
        <v>141</v>
      </c>
      <c r="B2" s="451"/>
      <c r="C2" s="451"/>
      <c r="D2" s="451"/>
      <c r="E2" s="451"/>
      <c r="F2" s="451"/>
      <c r="G2" s="451"/>
      <c r="H2" s="451"/>
      <c r="I2" s="451"/>
      <c r="J2" s="451"/>
      <c r="K2" s="451"/>
    </row>
    <row r="3" spans="1:11" ht="15.75">
      <c r="A3" s="162"/>
      <c r="B3" s="162"/>
    </row>
    <row r="4" spans="1:11" ht="15.75">
      <c r="A4" s="334" t="s">
        <v>142</v>
      </c>
      <c r="B4" s="162"/>
      <c r="D4" s="27" t="str">
        <f>Control!B13</f>
        <v xml:space="preserve"> </v>
      </c>
    </row>
    <row r="5" spans="1:11" ht="15.75">
      <c r="A5" s="334"/>
      <c r="B5" s="162"/>
    </row>
    <row r="6" spans="1:11" ht="15.75">
      <c r="A6" s="334" t="s">
        <v>143</v>
      </c>
      <c r="B6" s="162"/>
      <c r="D6" s="2" t="str">
        <f>Control!B22</f>
        <v>Training Grant</v>
      </c>
    </row>
    <row r="7" spans="1:11" ht="15.75">
      <c r="A7" s="334" t="s">
        <v>144</v>
      </c>
      <c r="B7" s="162"/>
      <c r="D7" s="335" t="str">
        <f>Control!B2</f>
        <v xml:space="preserve"> </v>
      </c>
      <c r="F7" s="179"/>
    </row>
    <row r="8" spans="1:11" ht="15.75">
      <c r="A8" s="162"/>
      <c r="B8" s="162"/>
    </row>
    <row r="9" spans="1:11" ht="15.75">
      <c r="B9" s="162"/>
    </row>
    <row r="10" spans="1:11" ht="15.75">
      <c r="A10" s="163" t="s">
        <v>145</v>
      </c>
      <c r="B10" s="162"/>
    </row>
    <row r="11" spans="1:11" ht="15.75">
      <c r="A11" s="162"/>
      <c r="B11" s="162"/>
    </row>
    <row r="12" spans="1:11" ht="15.75">
      <c r="A12" s="162" t="s">
        <v>146</v>
      </c>
      <c r="B12" s="162"/>
    </row>
    <row r="13" spans="1:11" ht="15.75">
      <c r="A13" s="162"/>
      <c r="B13" s="162"/>
    </row>
    <row r="14" spans="1:11" ht="15.75">
      <c r="A14" s="162"/>
      <c r="B14" s="162"/>
    </row>
    <row r="15" spans="1:11" ht="15.75">
      <c r="A15" s="164" t="s">
        <v>147</v>
      </c>
      <c r="B15" s="164"/>
    </row>
    <row r="16" spans="1:11" ht="15.75">
      <c r="C16" s="162"/>
    </row>
    <row r="17" spans="1:3" s="166" customFormat="1" ht="13.15">
      <c r="A17" s="165"/>
      <c r="B17" s="166" t="s">
        <v>148</v>
      </c>
      <c r="C17" s="167"/>
    </row>
    <row r="18" spans="1:3" s="166" customFormat="1" ht="13.15">
      <c r="A18" s="165"/>
      <c r="B18" s="166" t="s">
        <v>149</v>
      </c>
      <c r="C18" s="167"/>
    </row>
    <row r="19" spans="1:3" s="166" customFormat="1" ht="13.15">
      <c r="A19" s="165"/>
      <c r="B19" s="166" t="s">
        <v>150</v>
      </c>
      <c r="C19" s="168"/>
    </row>
    <row r="20" spans="1:3" s="166" customFormat="1" ht="13.15">
      <c r="A20" s="165"/>
      <c r="B20" s="166" t="s">
        <v>151</v>
      </c>
      <c r="C20" s="168"/>
    </row>
    <row r="21" spans="1:3" s="166" customFormat="1" ht="13.15">
      <c r="A21" s="165"/>
      <c r="B21" s="166" t="s">
        <v>152</v>
      </c>
      <c r="C21" s="168"/>
    </row>
    <row r="22" spans="1:3" s="166" customFormat="1" ht="13.15">
      <c r="A22" s="165"/>
      <c r="B22" s="166" t="s">
        <v>153</v>
      </c>
      <c r="C22" s="168"/>
    </row>
    <row r="23" spans="1:3" ht="15.75">
      <c r="A23" s="169"/>
      <c r="C23" s="162"/>
    </row>
    <row r="24" spans="1:3" ht="15.75">
      <c r="C24" s="162"/>
    </row>
    <row r="25" spans="1:3" ht="15.75">
      <c r="A25" s="164" t="s">
        <v>154</v>
      </c>
    </row>
    <row r="26" spans="1:3" ht="15.75">
      <c r="C26" s="162"/>
    </row>
    <row r="27" spans="1:3" s="166" customFormat="1" ht="13.15">
      <c r="B27" s="166" t="s">
        <v>155</v>
      </c>
      <c r="C27" s="168"/>
    </row>
    <row r="28" spans="1:3" s="166" customFormat="1" ht="13.15">
      <c r="B28" s="166" t="s">
        <v>156</v>
      </c>
      <c r="C28" s="168"/>
    </row>
    <row r="29" spans="1:3" s="166" customFormat="1" ht="13.15">
      <c r="B29" s="166" t="s">
        <v>157</v>
      </c>
      <c r="C29" s="168"/>
    </row>
    <row r="30" spans="1:3" s="166" customFormat="1" ht="13.15">
      <c r="B30" s="166" t="s">
        <v>158</v>
      </c>
      <c r="C30" s="168"/>
    </row>
    <row r="31" spans="1:3" s="166" customFormat="1" ht="13.15">
      <c r="B31" s="166" t="s">
        <v>159</v>
      </c>
      <c r="C31" s="168"/>
    </row>
    <row r="32" spans="1:3" s="166" customFormat="1" ht="13.15">
      <c r="B32" s="166" t="s">
        <v>160</v>
      </c>
      <c r="C32" s="168"/>
    </row>
    <row r="33" spans="1:12" ht="15.75">
      <c r="C33" s="162"/>
    </row>
    <row r="34" spans="1:12">
      <c r="A34" s="170" t="s">
        <v>161</v>
      </c>
    </row>
    <row r="35" spans="1:12" ht="15.75">
      <c r="A35" t="s">
        <v>162</v>
      </c>
      <c r="C35" s="162"/>
    </row>
    <row r="36" spans="1:12" ht="15.75">
      <c r="A36" t="s">
        <v>163</v>
      </c>
      <c r="C36" s="162"/>
    </row>
    <row r="37" spans="1:12" ht="15.75">
      <c r="C37" s="162"/>
    </row>
    <row r="38" spans="1:12" ht="15.75">
      <c r="A38" s="162" t="s">
        <v>194</v>
      </c>
      <c r="B38" t="str">
        <f>Control!B5</f>
        <v xml:space="preserve"> </v>
      </c>
      <c r="C38" s="162"/>
    </row>
    <row r="39" spans="1:12" ht="15.75">
      <c r="A39" t="s">
        <v>164</v>
      </c>
      <c r="B39" s="253">
        <f>Control!B53</f>
        <v>0</v>
      </c>
      <c r="C39" s="171"/>
    </row>
    <row r="40" spans="1:12" ht="15.75">
      <c r="C40" s="171"/>
    </row>
    <row r="41" spans="1:12" ht="15" customHeight="1">
      <c r="A41" s="452" t="s">
        <v>165</v>
      </c>
      <c r="B41" s="452"/>
      <c r="C41" s="452"/>
      <c r="D41" s="452"/>
      <c r="E41" s="452"/>
      <c r="F41" s="452"/>
      <c r="G41" s="452"/>
      <c r="H41" s="452"/>
      <c r="I41" s="452"/>
      <c r="J41" s="452"/>
      <c r="K41" s="452"/>
      <c r="L41" s="452"/>
    </row>
    <row r="42" spans="1:12" ht="15.75">
      <c r="C42" s="162"/>
    </row>
    <row r="43" spans="1:12" ht="15.75">
      <c r="A43" s="162" t="s">
        <v>166</v>
      </c>
      <c r="C43" s="162"/>
    </row>
    <row r="44" spans="1:12">
      <c r="A44" t="s">
        <v>164</v>
      </c>
    </row>
    <row r="45" spans="1:12" ht="15.75">
      <c r="C45" s="162"/>
    </row>
    <row r="46" spans="1:12" ht="15.75">
      <c r="A46" s="172" t="s">
        <v>167</v>
      </c>
      <c r="C46" s="162"/>
    </row>
    <row r="47" spans="1:12" ht="15.75">
      <c r="C47" s="162"/>
    </row>
    <row r="49" spans="3:3" ht="15.75">
      <c r="C49" s="162"/>
    </row>
    <row r="50" spans="3:3" ht="15.75">
      <c r="C50" s="162"/>
    </row>
    <row r="51" spans="3:3" ht="15.75">
      <c r="C51" s="162"/>
    </row>
    <row r="52" spans="3:3" ht="15.75">
      <c r="C52" s="162"/>
    </row>
    <row r="53" spans="3:3" ht="15.75">
      <c r="C53" s="162"/>
    </row>
    <row r="54" spans="3:3" ht="15.75">
      <c r="C54" s="162"/>
    </row>
    <row r="55" spans="3:3" ht="15.75">
      <c r="C55" s="162"/>
    </row>
    <row r="56" spans="3:3" ht="15.75">
      <c r="C56" s="162"/>
    </row>
    <row r="57" spans="3:3" ht="15.75">
      <c r="C57" s="162"/>
    </row>
    <row r="58" spans="3:3" ht="15.75">
      <c r="C58" s="162"/>
    </row>
  </sheetData>
  <mergeCells count="2">
    <mergeCell ref="A2:K2"/>
    <mergeCell ref="A41:L41"/>
  </mergeCells>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104775</xdr:colOff>
                    <xdr:row>16</xdr:row>
                    <xdr:rowOff>0</xdr:rowOff>
                  </from>
                  <to>
                    <xdr:col>0</xdr:col>
                    <xdr:colOff>366713</xdr:colOff>
                    <xdr:row>17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104775</xdr:colOff>
                    <xdr:row>17</xdr:row>
                    <xdr:rowOff>9525</xdr:rowOff>
                  </from>
                  <to>
                    <xdr:col>0</xdr:col>
                    <xdr:colOff>333375</xdr:colOff>
                    <xdr:row>18</xdr:row>
                    <xdr:rowOff>47625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114300</xdr:colOff>
                    <xdr:row>18</xdr:row>
                    <xdr:rowOff>0</xdr:rowOff>
                  </from>
                  <to>
                    <xdr:col>0</xdr:col>
                    <xdr:colOff>333375</xdr:colOff>
                    <xdr:row>19</xdr:row>
                    <xdr:rowOff>61913</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114300</xdr:colOff>
                    <xdr:row>19</xdr:row>
                    <xdr:rowOff>0</xdr:rowOff>
                  </from>
                  <to>
                    <xdr:col>0</xdr:col>
                    <xdr:colOff>371475</xdr:colOff>
                    <xdr:row>20</xdr:row>
                    <xdr:rowOff>47625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123825</xdr:colOff>
                    <xdr:row>20</xdr:row>
                    <xdr:rowOff>0</xdr:rowOff>
                  </from>
                  <to>
                    <xdr:col>0</xdr:col>
                    <xdr:colOff>381000</xdr:colOff>
                    <xdr:row>21</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123825</xdr:colOff>
                    <xdr:row>21</xdr:row>
                    <xdr:rowOff>9525</xdr:rowOff>
                  </from>
                  <to>
                    <xdr:col>0</xdr:col>
                    <xdr:colOff>366713</xdr:colOff>
                    <xdr:row>22</xdr:row>
                    <xdr:rowOff>61913</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228600</xdr:colOff>
                    <xdr:row>25</xdr:row>
                    <xdr:rowOff>180975</xdr:rowOff>
                  </from>
                  <to>
                    <xdr:col>0</xdr:col>
                    <xdr:colOff>519113</xdr:colOff>
                    <xdr:row>27</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228600</xdr:colOff>
                    <xdr:row>27</xdr:row>
                    <xdr:rowOff>9525</xdr:rowOff>
                  </from>
                  <to>
                    <xdr:col>0</xdr:col>
                    <xdr:colOff>485775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0</xdr:col>
                    <xdr:colOff>228600</xdr:colOff>
                    <xdr:row>28</xdr:row>
                    <xdr:rowOff>23813</xdr:rowOff>
                  </from>
                  <to>
                    <xdr:col>0</xdr:col>
                    <xdr:colOff>485775</xdr:colOff>
                    <xdr:row>29</xdr:row>
                    <xdr:rowOff>23813</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0</xdr:col>
                    <xdr:colOff>219075</xdr:colOff>
                    <xdr:row>29</xdr:row>
                    <xdr:rowOff>23813</xdr:rowOff>
                  </from>
                  <to>
                    <xdr:col>0</xdr:col>
                    <xdr:colOff>481013</xdr:colOff>
                    <xdr:row>30</xdr:row>
                    <xdr:rowOff>23813</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0</xdr:col>
                    <xdr:colOff>219075</xdr:colOff>
                    <xdr:row>30</xdr:row>
                    <xdr:rowOff>0</xdr:rowOff>
                  </from>
                  <to>
                    <xdr:col>0</xdr:col>
                    <xdr:colOff>481013</xdr:colOff>
                    <xdr:row>31</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0</xdr:col>
                    <xdr:colOff>219075</xdr:colOff>
                    <xdr:row>31</xdr:row>
                    <xdr:rowOff>9525</xdr:rowOff>
                  </from>
                  <to>
                    <xdr:col>0</xdr:col>
                    <xdr:colOff>481013</xdr:colOff>
                    <xdr:row>32</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E23"/>
  <sheetViews>
    <sheetView topLeftCell="A11" workbookViewId="0">
      <selection activeCell="B3" sqref="B3:E3"/>
    </sheetView>
  </sheetViews>
  <sheetFormatPr defaultRowHeight="14.25"/>
  <cols>
    <col min="2" max="2" width="45" bestFit="1" customWidth="1"/>
    <col min="3" max="3" width="14.33203125" customWidth="1"/>
    <col min="4" max="4" width="12.1328125" customWidth="1"/>
    <col min="5" max="5" width="13.46484375" customWidth="1"/>
  </cols>
  <sheetData>
    <row r="3" spans="2:5" ht="18">
      <c r="B3" s="453" t="str">
        <f>"Grant payable at "&amp;TEXT('Current Claim'!D11,"0.00%")&amp;" of expenditure"</f>
        <v>Grant payable at   of expenditure</v>
      </c>
      <c r="C3" s="453"/>
      <c r="D3" s="453"/>
      <c r="E3" s="453"/>
    </row>
    <row r="4" spans="2:5" ht="14.65" thickBot="1"/>
    <row r="5" spans="2:5" ht="43.15" thickBot="1">
      <c r="B5" s="173" t="s">
        <v>74</v>
      </c>
      <c r="C5" s="174" t="s">
        <v>75</v>
      </c>
      <c r="D5" s="174" t="s">
        <v>168</v>
      </c>
      <c r="E5" s="175" t="s">
        <v>169</v>
      </c>
    </row>
    <row r="6" spans="2:5">
      <c r="B6" s="76" t="str">
        <f>'Summary '!A11</f>
        <v>Trainee Personnel Costs</v>
      </c>
      <c r="C6" s="76">
        <f>'Summary '!B11</f>
        <v>0</v>
      </c>
      <c r="D6" s="176">
        <v>0</v>
      </c>
      <c r="E6" s="62">
        <f>C6+D6</f>
        <v>0</v>
      </c>
    </row>
    <row r="7" spans="2:5">
      <c r="B7" s="76" t="e">
        <f>'Summary '!#REF!</f>
        <v>#REF!</v>
      </c>
      <c r="C7" s="76" t="e">
        <f>'Summary '!#REF!</f>
        <v>#REF!</v>
      </c>
      <c r="D7" s="176">
        <v>0</v>
      </c>
      <c r="E7" s="62" t="e">
        <f>C7+D7</f>
        <v>#REF!</v>
      </c>
    </row>
    <row r="8" spans="2:5">
      <c r="B8" s="76"/>
      <c r="C8" s="61"/>
      <c r="D8" s="176"/>
      <c r="E8" s="62"/>
    </row>
    <row r="9" spans="2:5">
      <c r="B9" s="77" t="s">
        <v>78</v>
      </c>
      <c r="C9" s="64" t="e">
        <f>SUM(C6:C8)</f>
        <v>#REF!</v>
      </c>
      <c r="D9" s="177">
        <f t="shared" ref="D9:E9" si="0">SUM(D6:D7)</f>
        <v>0</v>
      </c>
      <c r="E9" s="65" t="e">
        <f t="shared" si="0"/>
        <v>#REF!</v>
      </c>
    </row>
    <row r="10" spans="2:5">
      <c r="B10" s="76"/>
      <c r="C10" s="61"/>
      <c r="D10" s="176"/>
      <c r="E10" s="62"/>
    </row>
    <row r="11" spans="2:5">
      <c r="B11" s="76" t="str">
        <f>'Summary '!A15</f>
        <v>Internal Trainer Personnel Costs</v>
      </c>
      <c r="C11" s="76">
        <f>'Summary '!B15</f>
        <v>0</v>
      </c>
      <c r="D11" s="176">
        <v>0</v>
      </c>
      <c r="E11" s="62">
        <f>C11+D11</f>
        <v>0</v>
      </c>
    </row>
    <row r="12" spans="2:5">
      <c r="B12" s="76" t="e">
        <f>'Summary '!#REF!</f>
        <v>#REF!</v>
      </c>
      <c r="C12" s="76" t="e">
        <f>'Summary '!#REF!</f>
        <v>#REF!</v>
      </c>
      <c r="D12" s="176">
        <v>0</v>
      </c>
      <c r="E12" s="62" t="e">
        <f t="shared" ref="E12:E18" si="1">C12+D12</f>
        <v>#REF!</v>
      </c>
    </row>
    <row r="13" spans="2:5">
      <c r="B13" s="76" t="str">
        <f>'Summary '!A16</f>
        <v>Travel &amp; Subsistence</v>
      </c>
      <c r="C13" s="76">
        <f>'Summary '!B16</f>
        <v>0</v>
      </c>
      <c r="D13" s="176">
        <v>0</v>
      </c>
      <c r="E13" s="62">
        <f t="shared" si="1"/>
        <v>0</v>
      </c>
    </row>
    <row r="14" spans="2:5">
      <c r="B14" s="76" t="str">
        <f>'Summary '!A17</f>
        <v>External Supplier Course Costs</v>
      </c>
      <c r="C14" s="76">
        <f>'Summary '!B17</f>
        <v>0</v>
      </c>
      <c r="D14" s="176">
        <v>0</v>
      </c>
      <c r="E14" s="62">
        <f t="shared" si="1"/>
        <v>0</v>
      </c>
    </row>
    <row r="15" spans="2:5">
      <c r="B15" s="76" t="str">
        <f>'Summary '!A18</f>
        <v>Materials</v>
      </c>
      <c r="C15" s="76">
        <f>'Summary '!B18</f>
        <v>0</v>
      </c>
      <c r="D15" s="176">
        <v>0</v>
      </c>
      <c r="E15" s="62">
        <f t="shared" si="1"/>
        <v>0</v>
      </c>
    </row>
    <row r="16" spans="2:5">
      <c r="B16" s="76" t="str">
        <f>'Summary '!A19</f>
        <v>Training Advisory Service Costs</v>
      </c>
      <c r="C16" s="76">
        <f>'Summary '!B19</f>
        <v>0</v>
      </c>
      <c r="D16" s="176">
        <v>0</v>
      </c>
      <c r="E16" s="62">
        <f t="shared" si="1"/>
        <v>0</v>
      </c>
    </row>
    <row r="17" spans="2:5">
      <c r="B17" s="76">
        <f>'Summary '!A20</f>
        <v>0</v>
      </c>
      <c r="C17" s="76">
        <f>'Summary '!B20</f>
        <v>0</v>
      </c>
      <c r="D17" s="176">
        <v>0</v>
      </c>
      <c r="E17" s="62">
        <f t="shared" si="1"/>
        <v>0</v>
      </c>
    </row>
    <row r="18" spans="2:5">
      <c r="B18" s="76">
        <f>'Summary '!A21</f>
        <v>0</v>
      </c>
      <c r="C18" s="76">
        <f>'Summary '!B21</f>
        <v>0</v>
      </c>
      <c r="D18" s="176">
        <v>0</v>
      </c>
      <c r="E18" s="62">
        <f t="shared" si="1"/>
        <v>0</v>
      </c>
    </row>
    <row r="19" spans="2:5">
      <c r="B19" s="60" t="s">
        <v>35</v>
      </c>
      <c r="C19" s="61" t="s">
        <v>35</v>
      </c>
      <c r="D19" s="176" t="s">
        <v>35</v>
      </c>
      <c r="E19" s="62"/>
    </row>
    <row r="20" spans="2:5">
      <c r="B20" s="63" t="s">
        <v>79</v>
      </c>
      <c r="C20" s="64" t="e">
        <f>SUM(C11:C19)</f>
        <v>#REF!</v>
      </c>
      <c r="D20" s="177">
        <f>SUM(D11:D19)</f>
        <v>0</v>
      </c>
      <c r="E20" s="65" t="e">
        <f>SUM(E11:E19)</f>
        <v>#REF!</v>
      </c>
    </row>
    <row r="21" spans="2:5">
      <c r="B21" s="60"/>
      <c r="C21" s="61"/>
      <c r="D21" s="176"/>
      <c r="E21" s="62"/>
    </row>
    <row r="22" spans="2:5">
      <c r="B22" s="60" t="s">
        <v>80</v>
      </c>
      <c r="C22" s="61" t="e">
        <f>C9+C20</f>
        <v>#REF!</v>
      </c>
      <c r="D22" s="176">
        <f>D9+D20</f>
        <v>0</v>
      </c>
      <c r="E22" s="62" t="e">
        <f>E9+E20</f>
        <v>#REF!</v>
      </c>
    </row>
    <row r="23" spans="2:5" ht="14.65" thickBot="1">
      <c r="B23" s="66"/>
      <c r="C23" s="69"/>
      <c r="D23" s="69" t="s">
        <v>35</v>
      </c>
      <c r="E23" s="178"/>
    </row>
  </sheetData>
  <mergeCells count="1">
    <mergeCell ref="B3:E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2"/>
  <sheetViews>
    <sheetView workbookViewId="0">
      <selection activeCell="B31" sqref="B31:B33"/>
    </sheetView>
  </sheetViews>
  <sheetFormatPr defaultRowHeight="14.25"/>
  <cols>
    <col min="1" max="1" width="31.86328125" customWidth="1"/>
    <col min="2" max="2" width="70.33203125" customWidth="1"/>
  </cols>
  <sheetData>
    <row r="1" spans="1:4" ht="15.75">
      <c r="A1" s="254"/>
      <c r="B1" s="254" t="s">
        <v>195</v>
      </c>
      <c r="D1" s="25"/>
    </row>
    <row r="2" spans="1:4" ht="15.75">
      <c r="A2" s="255"/>
      <c r="B2" s="25"/>
      <c r="C2" s="25"/>
      <c r="D2" s="25"/>
    </row>
    <row r="3" spans="1:4" ht="15.75">
      <c r="A3" s="255"/>
      <c r="B3" s="25"/>
      <c r="C3" s="25"/>
      <c r="D3" s="25"/>
    </row>
    <row r="4" spans="1:4" ht="15.75">
      <c r="A4" s="255"/>
      <c r="B4" s="25"/>
      <c r="C4" s="25"/>
      <c r="D4" s="25"/>
    </row>
    <row r="5" spans="1:4" ht="15.75">
      <c r="A5" s="256" t="s">
        <v>196</v>
      </c>
      <c r="B5" s="25" t="str">
        <f>Control!B13</f>
        <v xml:space="preserve"> </v>
      </c>
      <c r="C5" s="25"/>
      <c r="D5" s="25"/>
    </row>
    <row r="6" spans="1:4" ht="15.75">
      <c r="A6" s="256"/>
      <c r="B6" s="25"/>
      <c r="C6" s="25"/>
      <c r="D6" s="25"/>
    </row>
    <row r="7" spans="1:4" ht="15.75">
      <c r="A7" s="256" t="s">
        <v>197</v>
      </c>
      <c r="B7" s="25" t="str">
        <f>(Control!B14&amp;", "&amp;Control!B15&amp;", "&amp;Control!B16&amp;", "&amp;Control!B17&amp;", "&amp;Control!B18)</f>
        <v xml:space="preserve">, , , , </v>
      </c>
      <c r="C7" s="25"/>
      <c r="D7" s="25"/>
    </row>
    <row r="8" spans="1:4" ht="15.75">
      <c r="A8" s="256"/>
      <c r="B8" s="25"/>
      <c r="C8" s="25"/>
      <c r="D8" s="25"/>
    </row>
    <row r="9" spans="1:4" ht="15.75">
      <c r="A9" s="256" t="s">
        <v>198</v>
      </c>
      <c r="B9" s="259" t="str">
        <f>Control!B2</f>
        <v xml:space="preserve"> </v>
      </c>
      <c r="C9" s="25"/>
      <c r="D9" s="25"/>
    </row>
    <row r="10" spans="1:4" ht="15.75">
      <c r="A10" s="256"/>
      <c r="B10" s="25"/>
      <c r="C10" s="25"/>
      <c r="D10" s="25"/>
    </row>
    <row r="11" spans="1:4" ht="15.75">
      <c r="A11" s="256" t="s">
        <v>199</v>
      </c>
      <c r="B11" s="259">
        <f>Control!B3</f>
        <v>1</v>
      </c>
      <c r="C11" s="25"/>
      <c r="D11" s="25"/>
    </row>
    <row r="12" spans="1:4" ht="15.75">
      <c r="A12" s="256"/>
      <c r="B12" s="25"/>
      <c r="C12" s="25"/>
      <c r="D12" s="25"/>
    </row>
    <row r="13" spans="1:4" ht="15.75">
      <c r="A13" s="256" t="s">
        <v>200</v>
      </c>
      <c r="B13" s="260">
        <f>Control!B41</f>
        <v>0</v>
      </c>
      <c r="C13" s="25"/>
      <c r="D13" s="25"/>
    </row>
    <row r="14" spans="1:4" ht="15.75">
      <c r="A14" s="257"/>
      <c r="B14" s="25"/>
      <c r="C14" s="25"/>
      <c r="D14" s="25"/>
    </row>
    <row r="15" spans="1:4" ht="15.75">
      <c r="A15" s="256" t="s">
        <v>201</v>
      </c>
      <c r="B15" s="260">
        <f>Control!B54</f>
        <v>0</v>
      </c>
      <c r="C15" s="25"/>
      <c r="D15" s="25"/>
    </row>
    <row r="16" spans="1:4" ht="15.75">
      <c r="A16" s="256"/>
      <c r="B16" s="25"/>
      <c r="C16" s="25"/>
      <c r="D16" s="25"/>
    </row>
    <row r="17" spans="1:4" ht="15.75">
      <c r="A17" s="256" t="s">
        <v>210</v>
      </c>
      <c r="B17" s="25"/>
      <c r="C17" s="25"/>
      <c r="D17" s="25"/>
    </row>
    <row r="18" spans="1:4" ht="15.75">
      <c r="A18" s="257"/>
      <c r="B18" s="25"/>
      <c r="C18" s="25"/>
      <c r="D18" s="25"/>
    </row>
    <row r="19" spans="1:4" ht="15.75">
      <c r="A19" s="272">
        <v>0.5625</v>
      </c>
      <c r="B19" s="257" t="s">
        <v>202</v>
      </c>
      <c r="C19" s="25"/>
      <c r="D19" s="25"/>
    </row>
    <row r="20" spans="1:4" ht="15.75">
      <c r="A20" s="273"/>
      <c r="B20" s="25"/>
      <c r="C20" s="25"/>
      <c r="D20" s="25"/>
    </row>
    <row r="21" spans="1:4" ht="15.75">
      <c r="A21" s="272">
        <v>0.57291666666666663</v>
      </c>
      <c r="B21" s="257" t="s">
        <v>203</v>
      </c>
      <c r="C21" s="25"/>
      <c r="D21" s="25"/>
    </row>
    <row r="22" spans="1:4" ht="15.75">
      <c r="A22" s="273"/>
      <c r="B22" s="25"/>
      <c r="C22" s="25"/>
      <c r="D22" s="25"/>
    </row>
    <row r="23" spans="1:4" ht="15.75">
      <c r="A23" s="272">
        <v>0.625</v>
      </c>
      <c r="B23" s="257" t="s">
        <v>338</v>
      </c>
      <c r="C23" s="25"/>
      <c r="D23" s="25"/>
    </row>
    <row r="24" spans="1:4" ht="15.75">
      <c r="A24" s="273"/>
      <c r="B24" s="25"/>
      <c r="C24" s="25"/>
      <c r="D24" s="25"/>
    </row>
    <row r="25" spans="1:4" ht="15.75">
      <c r="A25" s="273" t="s">
        <v>228</v>
      </c>
      <c r="B25" s="257" t="s">
        <v>204</v>
      </c>
      <c r="C25" s="25"/>
      <c r="D25" s="25"/>
    </row>
    <row r="26" spans="1:4" ht="15.75">
      <c r="A26" s="273"/>
      <c r="B26" s="25"/>
      <c r="C26" s="25"/>
      <c r="D26" s="25"/>
    </row>
    <row r="27" spans="1:4" ht="15.75">
      <c r="A27" s="256" t="s">
        <v>205</v>
      </c>
      <c r="B27" s="25"/>
      <c r="C27" s="25"/>
      <c r="D27" s="25"/>
    </row>
    <row r="28" spans="1:4" ht="15.75">
      <c r="A28" s="257"/>
      <c r="B28" s="25"/>
      <c r="C28" s="25"/>
      <c r="D28" s="25"/>
    </row>
    <row r="29" spans="1:4" ht="15.75">
      <c r="A29" s="256" t="s">
        <v>206</v>
      </c>
      <c r="B29" s="25"/>
      <c r="C29" s="25"/>
      <c r="D29" s="25"/>
    </row>
    <row r="30" spans="1:4" ht="15.75">
      <c r="A30" s="257"/>
      <c r="B30" s="25"/>
      <c r="C30" s="25"/>
      <c r="D30" s="25"/>
    </row>
    <row r="31" spans="1:4" ht="15.75">
      <c r="A31" s="258" t="s">
        <v>207</v>
      </c>
      <c r="B31" s="257" t="s">
        <v>232</v>
      </c>
    </row>
    <row r="32" spans="1:4" ht="15.75">
      <c r="A32" s="258"/>
      <c r="B32" s="257" t="s">
        <v>233</v>
      </c>
      <c r="C32" s="257"/>
      <c r="D32" s="257"/>
    </row>
    <row r="33" spans="1:4" ht="15.75">
      <c r="A33" s="257"/>
      <c r="B33" s="257" t="s">
        <v>234</v>
      </c>
      <c r="C33" s="25"/>
      <c r="D33" s="25"/>
    </row>
    <row r="34" spans="1:4" ht="15.75">
      <c r="A34" s="257"/>
      <c r="B34" s="25"/>
      <c r="C34" s="25"/>
      <c r="D34" s="25"/>
    </row>
    <row r="35" spans="1:4" ht="15.75">
      <c r="A35" s="258" t="s">
        <v>191</v>
      </c>
      <c r="B35" s="257" t="s">
        <v>229</v>
      </c>
      <c r="C35" s="25"/>
      <c r="D35" s="25"/>
    </row>
    <row r="36" spans="1:4" ht="15.75">
      <c r="A36" s="257"/>
      <c r="B36" s="25"/>
      <c r="C36" s="25"/>
      <c r="D36" s="25"/>
    </row>
    <row r="37" spans="1:4" ht="15.75">
      <c r="A37" s="258" t="s">
        <v>211</v>
      </c>
      <c r="B37" s="257" t="s">
        <v>230</v>
      </c>
      <c r="C37" s="25"/>
      <c r="D37" s="25"/>
    </row>
    <row r="38" spans="1:4" ht="15.75">
      <c r="A38" s="257"/>
      <c r="B38" s="25"/>
      <c r="C38" s="25"/>
      <c r="D38" s="25"/>
    </row>
    <row r="39" spans="1:4" ht="15.75">
      <c r="A39" s="258" t="s">
        <v>208</v>
      </c>
      <c r="B39" s="257" t="s">
        <v>231</v>
      </c>
      <c r="C39" s="25"/>
      <c r="D39" s="25"/>
    </row>
    <row r="40" spans="1:4" ht="15.75">
      <c r="A40" s="257"/>
      <c r="B40" s="25"/>
      <c r="C40" s="25"/>
      <c r="D40" s="25"/>
    </row>
    <row r="41" spans="1:4" ht="15.75">
      <c r="A41" s="257"/>
      <c r="B41" s="25"/>
      <c r="C41" s="25"/>
      <c r="D41" s="25"/>
    </row>
    <row r="42" spans="1:4" ht="15.75">
      <c r="A42" s="256" t="s">
        <v>212</v>
      </c>
      <c r="B42" s="25"/>
      <c r="C42" s="25"/>
      <c r="D42" s="25"/>
    </row>
    <row r="43" spans="1:4" ht="15.75">
      <c r="A43" s="257"/>
      <c r="B43" s="25"/>
      <c r="C43" s="25"/>
      <c r="D43" s="25"/>
    </row>
    <row r="44" spans="1:4" ht="15.75">
      <c r="A44" s="258" t="s">
        <v>213</v>
      </c>
      <c r="B44" s="257" t="s">
        <v>230</v>
      </c>
      <c r="C44" s="25"/>
      <c r="D44" s="25"/>
    </row>
    <row r="45" spans="1:4" ht="15.75">
      <c r="A45" s="257"/>
      <c r="B45" s="25"/>
      <c r="C45" s="25"/>
      <c r="D45" s="25"/>
    </row>
    <row r="46" spans="1:4" ht="15.75">
      <c r="A46" s="258" t="s">
        <v>209</v>
      </c>
      <c r="B46" s="257" t="s">
        <v>230</v>
      </c>
      <c r="C46" s="25"/>
      <c r="D46" s="25"/>
    </row>
    <row r="47" spans="1:4" ht="15.75">
      <c r="A47" s="257"/>
      <c r="B47" s="25"/>
      <c r="C47" s="25"/>
      <c r="D47" s="25"/>
    </row>
    <row r="48" spans="1:4" ht="15.75">
      <c r="A48" s="257"/>
      <c r="B48" s="25"/>
      <c r="C48" s="25"/>
      <c r="D48" s="25"/>
    </row>
    <row r="49" spans="1:4" ht="15.75">
      <c r="A49" s="257"/>
      <c r="B49" s="25"/>
      <c r="C49" s="25"/>
      <c r="D49" s="25"/>
    </row>
    <row r="50" spans="1:4" ht="15.75">
      <c r="A50" s="257"/>
      <c r="B50" s="25"/>
      <c r="C50" s="25"/>
      <c r="D50" s="25"/>
    </row>
    <row r="51" spans="1:4" ht="15.75">
      <c r="A51" s="257"/>
      <c r="B51" s="25"/>
      <c r="C51" s="25"/>
      <c r="D51" s="25"/>
    </row>
    <row r="52" spans="1:4" ht="15.75">
      <c r="A52" s="257"/>
      <c r="B52" s="25"/>
      <c r="C52" s="25"/>
      <c r="D52" s="25"/>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98759-6786-4606-A329-0BBD7FBBCCCF}">
  <dimension ref="A2:G33"/>
  <sheetViews>
    <sheetView zoomScaleNormal="100" workbookViewId="0">
      <selection activeCell="B14" sqref="B14"/>
    </sheetView>
  </sheetViews>
  <sheetFormatPr defaultRowHeight="14.25"/>
  <cols>
    <col min="1" max="1" width="11.6640625" customWidth="1"/>
    <col min="2" max="2" width="18.1328125" customWidth="1"/>
    <col min="3" max="3" width="15.6640625" customWidth="1"/>
    <col min="4" max="4" width="12" customWidth="1"/>
  </cols>
  <sheetData>
    <row r="2" spans="1:7">
      <c r="E2" s="2" t="s">
        <v>241</v>
      </c>
      <c r="F2" s="2"/>
    </row>
    <row r="3" spans="1:7">
      <c r="E3" s="2" t="s">
        <v>240</v>
      </c>
      <c r="F3" s="2"/>
    </row>
    <row r="4" spans="1:7">
      <c r="E4" s="2"/>
      <c r="F4" s="2"/>
    </row>
    <row r="5" spans="1:7" s="22" customFormat="1" ht="13.9">
      <c r="E5" s="279" t="s">
        <v>235</v>
      </c>
      <c r="F5" s="281"/>
    </row>
    <row r="6" spans="1:7" s="22" customFormat="1" ht="13.9">
      <c r="E6" s="279" t="s">
        <v>236</v>
      </c>
      <c r="F6" s="281"/>
    </row>
    <row r="7" spans="1:7" s="22" customFormat="1" ht="13.9">
      <c r="E7" s="279" t="s">
        <v>237</v>
      </c>
      <c r="F7" s="281"/>
    </row>
    <row r="8" spans="1:7" s="22" customFormat="1" ht="13.9">
      <c r="E8" s="279" t="s">
        <v>238</v>
      </c>
      <c r="F8" s="281"/>
    </row>
    <row r="9" spans="1:7" s="22" customFormat="1" ht="13.9">
      <c r="E9" s="282" t="s">
        <v>239</v>
      </c>
      <c r="F9" s="281"/>
    </row>
    <row r="10" spans="1:7" s="22" customFormat="1" ht="20.65">
      <c r="A10" s="262"/>
      <c r="C10" s="271" t="s">
        <v>220</v>
      </c>
    </row>
    <row r="11" spans="1:7" s="22" customFormat="1" ht="13.9" thickBot="1">
      <c r="A11" s="263"/>
      <c r="B11" s="268"/>
    </row>
    <row r="12" spans="1:7" s="22" customFormat="1" ht="29.45" customHeight="1" thickBot="1">
      <c r="A12" s="267" t="s">
        <v>97</v>
      </c>
      <c r="B12" s="262" t="s">
        <v>214</v>
      </c>
      <c r="C12" s="264"/>
      <c r="D12" s="264"/>
      <c r="E12" s="264"/>
      <c r="F12" s="264"/>
      <c r="G12" s="264"/>
    </row>
    <row r="13" spans="1:7" s="22" customFormat="1" ht="29.45" customHeight="1" thickBot="1">
      <c r="A13" s="267" t="s">
        <v>98</v>
      </c>
      <c r="B13" s="264" t="str">
        <f>Control!B5</f>
        <v xml:space="preserve"> </v>
      </c>
      <c r="C13" s="264"/>
      <c r="D13" s="264"/>
      <c r="E13" s="264"/>
      <c r="F13" s="264"/>
      <c r="G13" s="264"/>
    </row>
    <row r="14" spans="1:7" s="22" customFormat="1" ht="29.45" customHeight="1" thickBot="1">
      <c r="A14" s="267" t="s">
        <v>219</v>
      </c>
      <c r="B14" s="269" t="str">
        <f>Control!B13</f>
        <v xml:space="preserve"> </v>
      </c>
      <c r="C14" s="264"/>
      <c r="D14" s="264"/>
      <c r="E14" s="264"/>
      <c r="F14" s="264"/>
      <c r="G14" s="264"/>
    </row>
    <row r="15" spans="1:7" s="22" customFormat="1" ht="29.45" customHeight="1" thickBot="1">
      <c r="A15" s="265" t="s">
        <v>22</v>
      </c>
      <c r="B15" s="270">
        <f>Control!B46</f>
        <v>0</v>
      </c>
      <c r="C15" s="265"/>
      <c r="D15" s="265"/>
      <c r="E15" s="265"/>
      <c r="F15" s="265"/>
      <c r="G15" s="265"/>
    </row>
    <row r="16" spans="1:7" s="22" customFormat="1" ht="13.5">
      <c r="A16" s="263"/>
    </row>
    <row r="17" spans="1:1" s="22" customFormat="1" ht="13.5">
      <c r="A17" s="262"/>
    </row>
    <row r="18" spans="1:1" s="22" customFormat="1" ht="15" customHeight="1">
      <c r="A18" s="262"/>
    </row>
    <row r="19" spans="1:1" s="22" customFormat="1" ht="13.5">
      <c r="A19" s="262" t="s">
        <v>215</v>
      </c>
    </row>
    <row r="20" spans="1:1" s="22" customFormat="1" ht="13.5">
      <c r="A20" s="262"/>
    </row>
    <row r="21" spans="1:1" s="22" customFormat="1" ht="13.5">
      <c r="A21" s="262" t="s">
        <v>222</v>
      </c>
    </row>
    <row r="22" spans="1:1" s="22" customFormat="1" ht="13.5">
      <c r="A22" s="262" t="s">
        <v>221</v>
      </c>
    </row>
    <row r="23" spans="1:1" s="22" customFormat="1" ht="13.5">
      <c r="A23" s="262"/>
    </row>
    <row r="24" spans="1:1" s="22" customFormat="1" ht="13.5">
      <c r="A24" s="262" t="s">
        <v>216</v>
      </c>
    </row>
    <row r="25" spans="1:1" s="22" customFormat="1" ht="13.5">
      <c r="A25" s="262"/>
    </row>
    <row r="26" spans="1:1" s="22" customFormat="1" ht="15" customHeight="1">
      <c r="A26" s="262"/>
    </row>
    <row r="27" spans="1:1" s="22" customFormat="1" ht="13.5">
      <c r="A27" s="262"/>
    </row>
    <row r="28" spans="1:1" s="22" customFormat="1" ht="13.5">
      <c r="A28" s="262" t="s">
        <v>217</v>
      </c>
    </row>
    <row r="29" spans="1:1" s="22" customFormat="1" ht="13.9">
      <c r="A29" s="266"/>
    </row>
    <row r="30" spans="1:1" s="22" customFormat="1" ht="13.9">
      <c r="A30" s="266" t="s">
        <v>218</v>
      </c>
    </row>
    <row r="31" spans="1:1" s="22" customFormat="1" ht="13.5">
      <c r="A31" s="262"/>
    </row>
    <row r="32" spans="1:1">
      <c r="A32" s="72"/>
    </row>
    <row r="33" spans="1:1">
      <c r="A33" s="7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7C3C-E82B-430B-A2AE-FF86AD45BFBD}">
  <dimension ref="A2:G36"/>
  <sheetViews>
    <sheetView zoomScaleNormal="100" workbookViewId="0">
      <selection activeCell="B13" sqref="B13"/>
    </sheetView>
  </sheetViews>
  <sheetFormatPr defaultRowHeight="14.25"/>
  <cols>
    <col min="1" max="1" width="11.6640625" customWidth="1"/>
    <col min="2" max="2" width="18.1328125" customWidth="1"/>
    <col min="3" max="3" width="15.6640625" customWidth="1"/>
    <col min="4" max="4" width="12" customWidth="1"/>
  </cols>
  <sheetData>
    <row r="2" spans="1:7">
      <c r="E2" s="2" t="s">
        <v>241</v>
      </c>
    </row>
    <row r="3" spans="1:7">
      <c r="E3" s="2" t="s">
        <v>240</v>
      </c>
    </row>
    <row r="4" spans="1:7">
      <c r="E4" s="2"/>
    </row>
    <row r="5" spans="1:7" s="22" customFormat="1" ht="13.5">
      <c r="E5" s="279" t="s">
        <v>235</v>
      </c>
      <c r="F5" s="261"/>
    </row>
    <row r="6" spans="1:7" s="22" customFormat="1" ht="13.5">
      <c r="E6" s="279" t="s">
        <v>236</v>
      </c>
      <c r="F6" s="261"/>
    </row>
    <row r="7" spans="1:7" s="22" customFormat="1" ht="13.5">
      <c r="E7" s="279" t="s">
        <v>237</v>
      </c>
      <c r="F7" s="261"/>
    </row>
    <row r="8" spans="1:7" s="22" customFormat="1" ht="13.5">
      <c r="E8" s="279" t="s">
        <v>238</v>
      </c>
      <c r="F8" s="261"/>
    </row>
    <row r="9" spans="1:7" s="22" customFormat="1" ht="13.9">
      <c r="E9" s="282" t="s">
        <v>239</v>
      </c>
      <c r="F9" s="261"/>
    </row>
    <row r="10" spans="1:7" s="22" customFormat="1" ht="20.65">
      <c r="A10" s="262"/>
      <c r="C10" s="271" t="s">
        <v>220</v>
      </c>
    </row>
    <row r="11" spans="1:7" s="22" customFormat="1" ht="13.9" thickBot="1">
      <c r="A11" s="263"/>
      <c r="B11" s="268"/>
    </row>
    <row r="12" spans="1:7" s="22" customFormat="1" ht="29.45" customHeight="1" thickBot="1">
      <c r="A12" s="267" t="s">
        <v>97</v>
      </c>
      <c r="B12" s="262" t="s">
        <v>214</v>
      </c>
      <c r="C12" s="264"/>
      <c r="D12" s="264"/>
      <c r="E12" s="264"/>
      <c r="F12" s="264"/>
      <c r="G12" s="264"/>
    </row>
    <row r="13" spans="1:7" s="22" customFormat="1" ht="29.45" customHeight="1" thickBot="1">
      <c r="A13" s="267" t="s">
        <v>98</v>
      </c>
      <c r="B13" s="264" t="str">
        <f>Control!B5</f>
        <v xml:space="preserve"> </v>
      </c>
      <c r="C13" s="264"/>
      <c r="D13" s="264"/>
      <c r="E13" s="264"/>
      <c r="F13" s="264"/>
      <c r="G13" s="264"/>
    </row>
    <row r="14" spans="1:7" s="22" customFormat="1" ht="29.45" customHeight="1" thickBot="1">
      <c r="A14" s="267" t="s">
        <v>219</v>
      </c>
      <c r="B14" s="269" t="str">
        <f>Control!B13</f>
        <v xml:space="preserve"> </v>
      </c>
      <c r="C14" s="264"/>
      <c r="D14" s="264"/>
      <c r="E14" s="264"/>
      <c r="F14" s="264"/>
      <c r="G14" s="264"/>
    </row>
    <row r="15" spans="1:7" s="22" customFormat="1" ht="29.45" customHeight="1" thickBot="1">
      <c r="A15" s="265" t="s">
        <v>22</v>
      </c>
      <c r="B15" s="270">
        <f>Control!B46</f>
        <v>0</v>
      </c>
      <c r="C15" s="265"/>
      <c r="D15" s="265"/>
      <c r="E15" s="265"/>
      <c r="F15" s="265"/>
      <c r="G15" s="265"/>
    </row>
    <row r="16" spans="1:7" s="22" customFormat="1" ht="13.5">
      <c r="A16" s="263"/>
    </row>
    <row r="17" spans="1:1" s="22" customFormat="1" ht="13.5">
      <c r="A17" s="262"/>
    </row>
    <row r="18" spans="1:1" s="22" customFormat="1" ht="15" customHeight="1">
      <c r="A18" s="262"/>
    </row>
    <row r="19" spans="1:1" s="22" customFormat="1" ht="13.5">
      <c r="A19" s="262" t="s">
        <v>215</v>
      </c>
    </row>
    <row r="20" spans="1:1" s="22" customFormat="1" ht="13.5">
      <c r="A20" s="262"/>
    </row>
    <row r="21" spans="1:1" s="22" customFormat="1" ht="13.5">
      <c r="A21" s="22" t="s">
        <v>223</v>
      </c>
    </row>
    <row r="22" spans="1:1" s="22" customFormat="1" ht="13.5">
      <c r="A22" s="262" t="str">
        <f>Control!B23&amp;" on "&amp;TEXT(Control!B24,"D MMMM YYY")&amp;"."</f>
        <v xml:space="preserve">  on  .</v>
      </c>
    </row>
    <row r="23" spans="1:1" s="22" customFormat="1" ht="13.5">
      <c r="A23" s="262"/>
    </row>
    <row r="24" spans="1:1" s="22" customFormat="1" ht="13.5">
      <c r="A24" s="262" t="s">
        <v>224</v>
      </c>
    </row>
    <row r="25" spans="1:1" s="22" customFormat="1" ht="13.5">
      <c r="A25" s="262" t="s">
        <v>225</v>
      </c>
    </row>
    <row r="26" spans="1:1" s="22" customFormat="1" ht="15" customHeight="1">
      <c r="A26" s="262"/>
    </row>
    <row r="27" spans="1:1" s="22" customFormat="1" ht="15" customHeight="1">
      <c r="A27" s="262" t="s">
        <v>226</v>
      </c>
    </row>
    <row r="28" spans="1:1" s="22" customFormat="1" ht="15" customHeight="1">
      <c r="A28" s="262"/>
    </row>
    <row r="29" spans="1:1" s="22" customFormat="1" ht="15" customHeight="1">
      <c r="A29" s="262"/>
    </row>
    <row r="30" spans="1:1" s="22" customFormat="1" ht="13.5">
      <c r="A30" s="262"/>
    </row>
    <row r="31" spans="1:1" s="22" customFormat="1" ht="13.5">
      <c r="A31" s="262" t="s">
        <v>217</v>
      </c>
    </row>
    <row r="32" spans="1:1" s="22" customFormat="1" ht="13.9">
      <c r="A32" s="266"/>
    </row>
    <row r="33" spans="1:1" s="22" customFormat="1" ht="13.9">
      <c r="A33" s="266" t="s">
        <v>218</v>
      </c>
    </row>
    <row r="34" spans="1:1" s="22" customFormat="1" ht="13.5">
      <c r="A34" s="262"/>
    </row>
    <row r="35" spans="1:1">
      <c r="A35" s="72"/>
    </row>
    <row r="36" spans="1:1">
      <c r="A36" s="72"/>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F9543-4A75-4DDC-BAF6-663420BC91AE}">
  <sheetPr codeName="Sheet1"/>
  <dimension ref="A2:G39"/>
  <sheetViews>
    <sheetView topLeftCell="A21" zoomScaleNormal="100" workbookViewId="0">
      <selection activeCell="B13" sqref="B13"/>
    </sheetView>
  </sheetViews>
  <sheetFormatPr defaultRowHeight="14.25"/>
  <cols>
    <col min="1" max="1" width="11.6640625" customWidth="1"/>
    <col min="2" max="2" width="18.1328125" customWidth="1"/>
    <col min="3" max="3" width="15.6640625" customWidth="1"/>
    <col min="4" max="4" width="12" customWidth="1"/>
  </cols>
  <sheetData>
    <row r="2" spans="1:7">
      <c r="E2" s="2" t="s">
        <v>241</v>
      </c>
    </row>
    <row r="3" spans="1:7">
      <c r="E3" s="2" t="s">
        <v>240</v>
      </c>
    </row>
    <row r="4" spans="1:7">
      <c r="E4" s="2"/>
    </row>
    <row r="5" spans="1:7" s="22" customFormat="1" ht="13.5">
      <c r="E5" s="279" t="s">
        <v>235</v>
      </c>
      <c r="F5" s="261"/>
    </row>
    <row r="6" spans="1:7" s="22" customFormat="1" ht="13.5">
      <c r="E6" s="279" t="s">
        <v>236</v>
      </c>
      <c r="F6" s="261"/>
    </row>
    <row r="7" spans="1:7" s="22" customFormat="1" ht="13.5">
      <c r="E7" s="279" t="s">
        <v>237</v>
      </c>
      <c r="F7" s="261"/>
    </row>
    <row r="8" spans="1:7" s="22" customFormat="1" ht="13.5">
      <c r="E8" s="279" t="s">
        <v>238</v>
      </c>
      <c r="F8" s="261"/>
    </row>
    <row r="9" spans="1:7" s="22" customFormat="1" ht="13.9">
      <c r="E9" s="282" t="s">
        <v>239</v>
      </c>
      <c r="F9" s="261"/>
    </row>
    <row r="10" spans="1:7" s="22" customFormat="1" ht="13.5">
      <c r="F10" s="261"/>
    </row>
    <row r="11" spans="1:7" s="22" customFormat="1" ht="20.65">
      <c r="A11" s="262"/>
      <c r="C11" s="271" t="s">
        <v>242</v>
      </c>
    </row>
    <row r="12" spans="1:7" s="22" customFormat="1" ht="13.9" thickBot="1">
      <c r="A12" s="263"/>
      <c r="B12" s="268"/>
    </row>
    <row r="13" spans="1:7" s="22" customFormat="1" ht="29.45" customHeight="1" thickBot="1">
      <c r="A13" s="267" t="s">
        <v>97</v>
      </c>
      <c r="B13" s="262" t="str">
        <f>"Grant Administration:    "&amp;Control!B5</f>
        <v xml:space="preserve">Grant Administration:     </v>
      </c>
      <c r="C13" s="264"/>
      <c r="D13" s="264"/>
      <c r="E13" s="264"/>
      <c r="F13" s="264"/>
      <c r="G13" s="264"/>
    </row>
    <row r="14" spans="1:7" s="22" customFormat="1" ht="29.45" customHeight="1" thickBot="1">
      <c r="A14" s="267" t="s">
        <v>98</v>
      </c>
      <c r="B14" s="264">
        <f>Control!B20</f>
        <v>0</v>
      </c>
      <c r="C14" s="264"/>
      <c r="D14" s="264"/>
      <c r="E14" s="264"/>
      <c r="F14" s="264"/>
      <c r="G14" s="264"/>
    </row>
    <row r="15" spans="1:7" s="22" customFormat="1" ht="29.45" customHeight="1" thickBot="1">
      <c r="A15" s="267" t="s">
        <v>219</v>
      </c>
      <c r="B15" s="269" t="str">
        <f>"CIS Early Warning:    "&amp;Control!B13</f>
        <v xml:space="preserve">CIS Early Warning:     </v>
      </c>
      <c r="C15" s="264"/>
      <c r="D15" s="264"/>
      <c r="E15" s="264"/>
      <c r="F15" s="264"/>
      <c r="G15" s="264"/>
    </row>
    <row r="16" spans="1:7" s="22" customFormat="1" ht="29.45" customHeight="1" thickBot="1">
      <c r="A16" s="265" t="s">
        <v>22</v>
      </c>
      <c r="B16" s="270">
        <f>Control!B53</f>
        <v>0</v>
      </c>
      <c r="C16" s="265"/>
      <c r="D16" s="265"/>
      <c r="E16" s="265"/>
      <c r="F16" s="265"/>
      <c r="G16" s="265"/>
    </row>
    <row r="17" spans="1:7" s="22" customFormat="1" ht="13.5">
      <c r="A17" s="263"/>
    </row>
    <row r="18" spans="1:7" s="22" customFormat="1" ht="13.5">
      <c r="A18" s="262"/>
    </row>
    <row r="19" spans="1:7" s="22" customFormat="1" ht="13.5">
      <c r="A19" s="323" t="str">
        <f>CONCATENATE(Control!B13," has been on the Early Warning List since ",TEXT(Control!B56,"dd mmmm yyyy"),"." )</f>
        <v xml:space="preserve">  has been on the Early Warning List since 00 January 1900.</v>
      </c>
    </row>
    <row r="20" spans="1:7" s="22" customFormat="1" ht="13.5">
      <c r="A20" s="262"/>
    </row>
    <row r="21" spans="1:7" s="22" customFormat="1">
      <c r="A21" s="285"/>
      <c r="B21"/>
    </row>
    <row r="22" spans="1:7" s="22" customFormat="1" ht="13.5">
      <c r="B22" s="262" t="s">
        <v>246</v>
      </c>
    </row>
    <row r="23" spans="1:7">
      <c r="B23" s="286"/>
      <c r="C23" s="286"/>
      <c r="D23" s="286"/>
      <c r="E23" s="286"/>
      <c r="F23" s="286"/>
      <c r="G23" s="286"/>
    </row>
    <row r="24" spans="1:7">
      <c r="B24" s="286"/>
      <c r="C24" s="286"/>
      <c r="D24" s="286"/>
      <c r="E24" s="286"/>
      <c r="F24" s="286"/>
      <c r="G24" s="286"/>
    </row>
    <row r="25" spans="1:7">
      <c r="B25" s="286"/>
      <c r="C25" s="286"/>
      <c r="D25" s="286"/>
      <c r="E25" s="286"/>
      <c r="F25" s="286"/>
      <c r="G25" s="286"/>
    </row>
    <row r="26" spans="1:7">
      <c r="B26" s="286"/>
      <c r="C26" s="286"/>
      <c r="D26" s="286"/>
      <c r="E26" s="286"/>
      <c r="F26" s="286"/>
      <c r="G26" s="286"/>
    </row>
    <row r="27" spans="1:7">
      <c r="B27" s="286"/>
      <c r="C27" s="286"/>
      <c r="D27" s="286"/>
      <c r="E27" s="286"/>
      <c r="F27" s="286"/>
      <c r="G27" s="286"/>
    </row>
    <row r="28" spans="1:7">
      <c r="B28" s="286"/>
      <c r="C28" s="286"/>
      <c r="D28" s="286"/>
      <c r="E28" s="286"/>
      <c r="F28" s="286"/>
      <c r="G28" s="286"/>
    </row>
    <row r="29" spans="1:7">
      <c r="B29" s="286"/>
      <c r="C29" s="286"/>
      <c r="D29" s="286"/>
      <c r="E29" s="286"/>
      <c r="F29" s="286"/>
      <c r="G29" s="286"/>
    </row>
    <row r="30" spans="1:7">
      <c r="B30" s="286"/>
      <c r="C30" s="286"/>
      <c r="D30" s="286"/>
      <c r="E30" s="286"/>
      <c r="F30" s="286"/>
      <c r="G30" s="286"/>
    </row>
    <row r="31" spans="1:7">
      <c r="B31" s="288" t="s">
        <v>248</v>
      </c>
      <c r="C31" s="54"/>
      <c r="D31" s="54"/>
      <c r="E31" s="54"/>
      <c r="F31" s="54"/>
      <c r="G31" s="54"/>
    </row>
    <row r="32" spans="1:7" s="54" customFormat="1">
      <c r="B32" s="286"/>
      <c r="C32" s="286"/>
      <c r="D32" s="286"/>
      <c r="E32" s="286"/>
      <c r="F32" s="286"/>
      <c r="G32" s="286"/>
    </row>
    <row r="33" spans="1:7" s="54" customFormat="1">
      <c r="B33" s="324"/>
      <c r="C33" s="324"/>
      <c r="D33" s="324"/>
      <c r="E33" s="324"/>
      <c r="F33" s="324"/>
      <c r="G33" s="324"/>
    </row>
    <row r="34" spans="1:7">
      <c r="B34" s="286"/>
      <c r="C34" s="286"/>
      <c r="D34" s="286"/>
      <c r="E34" s="286"/>
      <c r="F34" s="286"/>
      <c r="G34" s="286"/>
    </row>
    <row r="37" spans="1:7">
      <c r="A37" s="262" t="s">
        <v>249</v>
      </c>
      <c r="D37" s="262" t="s">
        <v>250</v>
      </c>
    </row>
    <row r="38" spans="1:7">
      <c r="A38" s="262" t="s">
        <v>251</v>
      </c>
      <c r="D38" s="262" t="s">
        <v>252</v>
      </c>
    </row>
    <row r="39" spans="1:7">
      <c r="A39" s="262" t="s">
        <v>130</v>
      </c>
      <c r="D39" s="262" t="s">
        <v>253</v>
      </c>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0</xdr:col>
                    <xdr:colOff>257175</xdr:colOff>
                    <xdr:row>20</xdr:row>
                    <xdr:rowOff>9525</xdr:rowOff>
                  </from>
                  <to>
                    <xdr:col>0</xdr:col>
                    <xdr:colOff>733425</xdr:colOff>
                    <xdr:row>22</xdr:row>
                    <xdr:rowOff>152400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0</xdr:col>
                    <xdr:colOff>257175</xdr:colOff>
                    <xdr:row>29</xdr:row>
                    <xdr:rowOff>9525</xdr:rowOff>
                  </from>
                  <to>
                    <xdr:col>0</xdr:col>
                    <xdr:colOff>733425</xdr:colOff>
                    <xdr:row>31</xdr:row>
                    <xdr:rowOff>142875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1B38A-CD7E-4377-A58B-F27AE9F607ED}">
  <sheetPr>
    <pageSetUpPr fitToPage="1"/>
  </sheetPr>
  <dimension ref="A1:AI79"/>
  <sheetViews>
    <sheetView showZeros="0" zoomScaleNormal="100" workbookViewId="0">
      <selection activeCell="G11" sqref="G11:H11"/>
    </sheetView>
  </sheetViews>
  <sheetFormatPr defaultRowHeight="12" customHeight="1"/>
  <cols>
    <col min="1" max="1" width="7.6640625" customWidth="1"/>
    <col min="2" max="2" width="2.46484375" customWidth="1"/>
    <col min="3" max="3" width="7.6640625" customWidth="1"/>
    <col min="4" max="4" width="2.46484375" customWidth="1"/>
    <col min="5" max="5" width="7.6640625" customWidth="1"/>
    <col min="6" max="6" width="5.6640625" customWidth="1"/>
    <col min="7" max="7" width="2.46484375" customWidth="1"/>
    <col min="8" max="9" width="7.6640625" customWidth="1"/>
    <col min="10" max="10" width="2.46484375" customWidth="1"/>
    <col min="11" max="11" width="8.1328125" customWidth="1"/>
    <col min="12" max="12" width="2.46484375" customWidth="1"/>
    <col min="13" max="13" width="7.6640625" customWidth="1"/>
    <col min="14" max="14" width="2.46484375" customWidth="1"/>
    <col min="15" max="15" width="7.6640625" customWidth="1"/>
    <col min="16" max="16" width="2.46484375" customWidth="1"/>
    <col min="17" max="17" width="7.6640625" customWidth="1"/>
    <col min="18" max="18" width="2.46484375" customWidth="1"/>
    <col min="19" max="19" width="7.6640625" customWidth="1"/>
    <col min="20" max="20" width="2.46484375" customWidth="1"/>
    <col min="21" max="21" width="7.6640625" customWidth="1"/>
    <col min="22" max="22" width="2.46484375" customWidth="1"/>
    <col min="23" max="23" width="7.6640625" customWidth="1"/>
    <col min="24" max="24" width="2.46484375" customWidth="1"/>
    <col min="25" max="26" width="9.6640625" customWidth="1"/>
    <col min="27" max="27" width="34" customWidth="1"/>
    <col min="28" max="30" width="7.6640625" customWidth="1"/>
  </cols>
  <sheetData>
    <row r="1" spans="1:27" s="289" customFormat="1" ht="14.1" customHeight="1">
      <c r="A1" s="478" t="s">
        <v>70</v>
      </c>
      <c r="B1" s="479"/>
      <c r="C1" s="480"/>
      <c r="D1" s="481" t="str">
        <f>Control!B2</f>
        <v xml:space="preserve"> </v>
      </c>
      <c r="E1" s="482"/>
      <c r="F1" s="482"/>
      <c r="G1" s="482"/>
      <c r="H1" s="482"/>
      <c r="I1" s="482"/>
      <c r="J1" s="482"/>
      <c r="K1" s="482"/>
      <c r="L1" s="482"/>
      <c r="M1" s="482"/>
      <c r="N1" s="482"/>
      <c r="O1" s="482"/>
      <c r="P1" s="482"/>
      <c r="Q1" s="482"/>
      <c r="R1" s="482"/>
      <c r="S1" s="482"/>
      <c r="T1" s="483" t="str">
        <f>IF($D4="R&amp;D","Site &amp; Buildings:",IF($D4="Capital","Site &amp; Buildings:",IF($D4="Employment"," ",IF($D4="Training"," ",IF($D4="Business Asset Grant (BAG)","Site &amp; Buildings:",IF($D4="Feasability"," "))))))</f>
        <v xml:space="preserve"> </v>
      </c>
      <c r="U1" s="484"/>
      <c r="V1" s="484"/>
      <c r="W1" s="484"/>
      <c r="X1" s="485"/>
      <c r="Y1" s="485"/>
      <c r="Z1" s="486"/>
      <c r="AA1" s="454" t="s">
        <v>254</v>
      </c>
    </row>
    <row r="2" spans="1:27" s="290" customFormat="1" ht="14.1" customHeight="1">
      <c r="A2" s="455" t="s">
        <v>69</v>
      </c>
      <c r="B2" s="456"/>
      <c r="C2" s="457"/>
      <c r="D2" s="458" t="str">
        <f>Control!B13</f>
        <v xml:space="preserve"> </v>
      </c>
      <c r="E2" s="459"/>
      <c r="F2" s="459"/>
      <c r="G2" s="459"/>
      <c r="H2" s="459"/>
      <c r="I2" s="459"/>
      <c r="J2" s="459"/>
      <c r="K2" s="459"/>
      <c r="L2" s="459"/>
      <c r="M2" s="459"/>
      <c r="N2" s="459"/>
      <c r="O2" s="459"/>
      <c r="P2" s="459"/>
      <c r="Q2" s="459"/>
      <c r="R2" s="459"/>
      <c r="S2" s="459"/>
      <c r="T2" s="460" t="str">
        <f>IF($D4="R&amp;D","Machinery:",IF($D4="Capital","Machinery:",IF($D4="Employment"," ",IF($D4="Training","Training Prog. Exp.",IF($D4="Business Asset Grant (BAG)","Machinery:",IF($D4="Feasability"," "))))))</f>
        <v>Training Prog. Exp.</v>
      </c>
      <c r="U2" s="461"/>
      <c r="V2" s="461"/>
      <c r="W2" s="461"/>
      <c r="X2" s="462">
        <f>Control!B38</f>
        <v>0</v>
      </c>
      <c r="Y2" s="462"/>
      <c r="Z2" s="463"/>
      <c r="AA2" s="454"/>
    </row>
    <row r="3" spans="1:27" s="290" customFormat="1" ht="14.1" customHeight="1">
      <c r="A3" s="455" t="s">
        <v>255</v>
      </c>
      <c r="B3" s="456"/>
      <c r="C3" s="457"/>
      <c r="D3" s="464"/>
      <c r="E3" s="465"/>
      <c r="F3" s="465"/>
      <c r="G3" s="465"/>
      <c r="H3" s="465"/>
      <c r="I3" s="465"/>
      <c r="J3" s="465"/>
      <c r="K3" s="465"/>
      <c r="L3" s="465"/>
      <c r="M3" s="465"/>
      <c r="N3" s="465"/>
      <c r="O3" s="465"/>
      <c r="P3" s="465"/>
      <c r="Q3" s="465"/>
      <c r="R3" s="465"/>
      <c r="S3" s="465"/>
      <c r="T3" s="466" t="str">
        <f>IF(D4="R&amp;D","Total Revenue:","Total Grant:")</f>
        <v>Total Grant:</v>
      </c>
      <c r="U3" s="467"/>
      <c r="V3" s="467"/>
      <c r="W3" s="467"/>
      <c r="X3" s="468" t="str">
        <f>Control!B25</f>
        <v xml:space="preserve"> </v>
      </c>
      <c r="Y3" s="468"/>
      <c r="Z3" s="469"/>
      <c r="AA3" s="454"/>
    </row>
    <row r="4" spans="1:27" s="290" customFormat="1" ht="14.1" customHeight="1">
      <c r="A4" s="455" t="s">
        <v>256</v>
      </c>
      <c r="B4" s="456"/>
      <c r="C4" s="457"/>
      <c r="D4" s="470" t="str">
        <f>IF(Control!D22="Business","Business Asset Grant (BAG)",Control!D22)</f>
        <v>Training</v>
      </c>
      <c r="E4" s="471"/>
      <c r="F4" s="471"/>
      <c r="G4" s="471"/>
      <c r="H4" s="471"/>
      <c r="I4" s="471"/>
      <c r="J4" s="471"/>
      <c r="K4" s="471"/>
      <c r="L4" s="471"/>
      <c r="M4" s="471"/>
      <c r="N4" s="471"/>
      <c r="O4" s="471"/>
      <c r="P4" s="471"/>
      <c r="Q4" s="471"/>
      <c r="R4" s="471"/>
      <c r="S4" s="471"/>
      <c r="T4" s="472" t="str">
        <f>IF(D4="Employment","Number of Jobs:","At what percentage:")</f>
        <v>At what percentage:</v>
      </c>
      <c r="U4" s="473"/>
      <c r="V4" s="473"/>
      <c r="W4" s="474"/>
      <c r="X4" s="475" t="str">
        <f>Control!B26</f>
        <v xml:space="preserve"> </v>
      </c>
      <c r="Y4" s="476"/>
      <c r="Z4" s="477"/>
      <c r="AA4" s="454"/>
    </row>
    <row r="5" spans="1:27" s="290" customFormat="1" ht="14.1" customHeight="1" thickBot="1">
      <c r="A5" s="493" t="s">
        <v>197</v>
      </c>
      <c r="B5" s="494"/>
      <c r="C5" s="495"/>
      <c r="D5" s="496"/>
      <c r="E5" s="497"/>
      <c r="F5" s="497"/>
      <c r="G5" s="497"/>
      <c r="H5" s="497"/>
      <c r="I5" s="497"/>
      <c r="J5" s="497"/>
      <c r="K5" s="497"/>
      <c r="L5" s="497"/>
      <c r="M5" s="497"/>
      <c r="N5" s="497"/>
      <c r="O5" s="497"/>
      <c r="P5" s="497"/>
      <c r="Q5" s="497"/>
      <c r="R5" s="497"/>
      <c r="S5" s="497"/>
      <c r="T5" s="498" t="str">
        <f>IF(D4="Employment","Grant per Job:"," ")</f>
        <v xml:space="preserve"> </v>
      </c>
      <c r="U5" s="499"/>
      <c r="V5" s="499"/>
      <c r="W5" s="500"/>
      <c r="X5" s="501"/>
      <c r="Y5" s="502"/>
      <c r="Z5" s="503"/>
      <c r="AA5" s="454"/>
    </row>
    <row r="6" spans="1:27" ht="14.1" customHeight="1" thickBot="1">
      <c r="A6" s="504"/>
      <c r="B6" s="504"/>
      <c r="C6" s="504"/>
      <c r="D6" s="504"/>
      <c r="E6" s="504"/>
      <c r="F6" s="504"/>
      <c r="G6" s="504"/>
      <c r="H6" s="504"/>
      <c r="I6" s="504"/>
      <c r="J6" s="504"/>
      <c r="K6" s="504"/>
      <c r="L6" s="504"/>
      <c r="M6" s="504"/>
      <c r="N6" s="504"/>
      <c r="O6" s="504"/>
      <c r="P6" s="504"/>
      <c r="Q6" s="504"/>
      <c r="R6" s="504"/>
      <c r="S6" s="504"/>
      <c r="T6" s="504"/>
      <c r="U6" s="504"/>
      <c r="V6" s="504"/>
      <c r="W6" s="504"/>
      <c r="X6" s="504"/>
      <c r="Y6" s="504"/>
      <c r="Z6" s="505"/>
      <c r="AA6" s="454"/>
    </row>
    <row r="7" spans="1:27" s="289" customFormat="1" ht="30.75" customHeight="1" thickBot="1">
      <c r="A7" s="506" t="s">
        <v>257</v>
      </c>
      <c r="B7" s="507"/>
      <c r="C7" s="508"/>
      <c r="D7" s="508"/>
      <c r="E7" s="508"/>
      <c r="F7" s="508"/>
      <c r="G7" s="508"/>
      <c r="H7" s="508"/>
      <c r="I7" s="508"/>
      <c r="J7" s="508"/>
      <c r="K7" s="508"/>
      <c r="L7" s="508"/>
      <c r="M7" s="508"/>
      <c r="N7" s="508"/>
      <c r="O7" s="508"/>
      <c r="P7" s="508"/>
      <c r="Q7" s="508"/>
      <c r="R7" s="508"/>
      <c r="S7" s="508"/>
      <c r="T7" s="508"/>
      <c r="U7" s="508"/>
      <c r="V7" s="508"/>
      <c r="W7" s="508"/>
      <c r="X7" s="508"/>
      <c r="Y7" s="291" t="s">
        <v>258</v>
      </c>
      <c r="Z7" s="292" t="s">
        <v>259</v>
      </c>
      <c r="AA7" s="454"/>
    </row>
    <row r="8" spans="1:27" ht="14.1" customHeight="1">
      <c r="A8" s="487" t="s">
        <v>260</v>
      </c>
      <c r="B8" s="488"/>
      <c r="C8" s="488"/>
      <c r="D8" s="488"/>
      <c r="E8" s="320" t="str">
        <f>Control!B23</f>
        <v xml:space="preserve"> </v>
      </c>
      <c r="F8" s="321" t="str">
        <f>IF(E8="DP Note","No?","")</f>
        <v/>
      </c>
      <c r="G8" s="489" t="s">
        <v>130</v>
      </c>
      <c r="H8" s="489"/>
      <c r="I8" s="490" t="str">
        <f>Control!B24</f>
        <v xml:space="preserve"> </v>
      </c>
      <c r="J8" s="490"/>
      <c r="K8" s="490"/>
      <c r="L8" s="490"/>
      <c r="M8" s="491" t="s">
        <v>261</v>
      </c>
      <c r="N8" s="491"/>
      <c r="O8" s="491"/>
      <c r="P8" s="491"/>
      <c r="Q8" s="491"/>
      <c r="R8" s="492"/>
      <c r="S8" s="492"/>
      <c r="T8" s="492"/>
      <c r="U8" s="492"/>
      <c r="V8" s="492"/>
      <c r="W8" s="492"/>
      <c r="X8" s="492"/>
      <c r="Y8" s="293"/>
      <c r="Z8" s="294"/>
    </row>
    <row r="9" spans="1:27" ht="14.1" customHeight="1">
      <c r="A9" s="467" t="s">
        <v>262</v>
      </c>
      <c r="B9" s="467"/>
      <c r="C9" s="467"/>
      <c r="D9" s="519" t="s">
        <v>129</v>
      </c>
      <c r="E9" s="519"/>
      <c r="F9" s="520" t="str">
        <f>Control!B27</f>
        <v xml:space="preserve"> </v>
      </c>
      <c r="G9" s="520"/>
      <c r="H9" s="520"/>
      <c r="I9" s="295" t="s">
        <v>263</v>
      </c>
      <c r="J9" s="521" t="str">
        <f>Control!B28</f>
        <v xml:space="preserve"> </v>
      </c>
      <c r="K9" s="522"/>
      <c r="L9" s="516" t="s">
        <v>264</v>
      </c>
      <c r="M9" s="516"/>
      <c r="N9" s="516"/>
      <c r="O9" s="516"/>
      <c r="P9" s="516"/>
      <c r="Q9" s="516"/>
      <c r="R9" s="523"/>
      <c r="S9" s="523"/>
      <c r="T9" s="514" t="s">
        <v>265</v>
      </c>
      <c r="U9" s="514"/>
      <c r="V9" s="514"/>
      <c r="W9" s="515"/>
      <c r="X9" s="515"/>
      <c r="Y9" s="296"/>
      <c r="Z9" s="297"/>
    </row>
    <row r="10" spans="1:27" s="289" customFormat="1" ht="14.1" customHeight="1">
      <c r="A10" s="516" t="s">
        <v>266</v>
      </c>
      <c r="B10" s="516"/>
      <c r="C10" s="516"/>
      <c r="D10" s="517"/>
      <c r="E10" s="517"/>
      <c r="F10" s="517"/>
      <c r="G10" s="517"/>
      <c r="H10" s="517"/>
      <c r="I10" s="517"/>
      <c r="J10" s="517"/>
      <c r="K10" s="517"/>
      <c r="L10" s="517"/>
      <c r="M10" s="518" t="s">
        <v>267</v>
      </c>
      <c r="N10" s="518"/>
      <c r="O10" s="518"/>
      <c r="P10" s="518"/>
      <c r="Q10" s="518"/>
      <c r="R10" s="517"/>
      <c r="S10" s="517"/>
      <c r="T10" s="517"/>
      <c r="U10" s="517"/>
      <c r="V10" s="517"/>
      <c r="W10" s="517"/>
      <c r="X10" s="517"/>
      <c r="Y10" s="296"/>
      <c r="Z10" s="297"/>
    </row>
    <row r="11" spans="1:27" ht="14.1" customHeight="1">
      <c r="A11" s="538" t="s">
        <v>268</v>
      </c>
      <c r="B11" s="539"/>
      <c r="C11" s="509" t="s">
        <v>269</v>
      </c>
      <c r="D11" s="510"/>
      <c r="E11" s="510"/>
      <c r="F11" s="511"/>
      <c r="G11" s="512">
        <f>IF(Control!$B$3=1,Control!B48,"")</f>
        <v>0</v>
      </c>
      <c r="H11" s="513"/>
      <c r="I11" s="512" t="str">
        <f>IF(Control!$B$3=2,Control!B48,"")</f>
        <v/>
      </c>
      <c r="J11" s="513"/>
      <c r="K11" s="512" t="str">
        <f>IF(Control!$B$3=3,Control!B48,"")</f>
        <v/>
      </c>
      <c r="L11" s="513"/>
      <c r="M11" s="512" t="str">
        <f>IF(Control!$B$3=4,Control!B48,"")</f>
        <v/>
      </c>
      <c r="N11" s="513"/>
      <c r="O11" s="512" t="str">
        <f>IF(Control!$B$3=5,Control!B48,"")</f>
        <v/>
      </c>
      <c r="P11" s="513"/>
      <c r="Q11" s="512" t="str">
        <f>IF(Control!$B$3=6,Control!B48,"")</f>
        <v/>
      </c>
      <c r="R11" s="513"/>
      <c r="S11" s="512" t="str">
        <f>IF(Control!$B$3=7,Control!B48,"")</f>
        <v/>
      </c>
      <c r="T11" s="513"/>
      <c r="U11" s="512" t="str">
        <f>IF(Control!$B$3=8,Control!B48,"")</f>
        <v/>
      </c>
      <c r="V11" s="513"/>
      <c r="W11" s="512" t="str">
        <f>IF(Control!$B$3=9,Control!B48,"")</f>
        <v/>
      </c>
      <c r="X11" s="513"/>
      <c r="Y11" s="535"/>
      <c r="Z11" s="529"/>
    </row>
    <row r="12" spans="1:27" ht="14.1" customHeight="1">
      <c r="A12" s="538"/>
      <c r="B12" s="539"/>
      <c r="C12" s="531" t="s">
        <v>270</v>
      </c>
      <c r="D12" s="531"/>
      <c r="E12" s="531"/>
      <c r="F12" s="531"/>
      <c r="G12" s="532"/>
      <c r="H12" s="533"/>
      <c r="I12" s="533"/>
      <c r="J12" s="533"/>
      <c r="K12" s="533"/>
      <c r="L12" s="533"/>
      <c r="M12" s="533"/>
      <c r="N12" s="533"/>
      <c r="O12" s="534"/>
      <c r="P12" s="532"/>
      <c r="Q12" s="534"/>
      <c r="R12" s="532"/>
      <c r="S12" s="533"/>
      <c r="T12" s="533"/>
      <c r="U12" s="533"/>
      <c r="V12" s="533"/>
      <c r="W12" s="533"/>
      <c r="X12" s="537"/>
      <c r="Y12" s="536"/>
      <c r="Z12" s="530"/>
    </row>
    <row r="13" spans="1:27" ht="14.1" customHeight="1">
      <c r="A13" s="524" t="s">
        <v>271</v>
      </c>
      <c r="B13" s="525"/>
      <c r="C13" s="528" t="s">
        <v>269</v>
      </c>
      <c r="D13" s="528"/>
      <c r="E13" s="528"/>
      <c r="F13" s="528"/>
      <c r="G13" s="512">
        <f>IF(Control!$B$3=1,Control!B49,"")</f>
        <v>0</v>
      </c>
      <c r="H13" s="513"/>
      <c r="I13" s="512" t="str">
        <f>IF(Control!$B$3=2,Control!B49,"")</f>
        <v/>
      </c>
      <c r="J13" s="513"/>
      <c r="K13" s="512" t="str">
        <f>IF(Control!$B$3=3,Control!B49,"")</f>
        <v/>
      </c>
      <c r="L13" s="513"/>
      <c r="M13" s="512" t="str">
        <f>IF(Control!$B$3=4,Control!B49,"")</f>
        <v/>
      </c>
      <c r="N13" s="513"/>
      <c r="O13" s="512" t="str">
        <f>IF(Control!$B$3=5,Control!B49,"")</f>
        <v/>
      </c>
      <c r="P13" s="513"/>
      <c r="Q13" s="512" t="str">
        <f>IF(Control!$B$3=6,Control!B49,"")</f>
        <v/>
      </c>
      <c r="R13" s="513"/>
      <c r="S13" s="512" t="str">
        <f>IF(Control!$B$3=7,Control!B49,"")</f>
        <v/>
      </c>
      <c r="T13" s="513"/>
      <c r="U13" s="512" t="str">
        <f>IF(Control!$B$3=8,Control!B49,"")</f>
        <v/>
      </c>
      <c r="V13" s="513"/>
      <c r="W13" s="512" t="str">
        <f>IF(Control!$B$3=9,Control!B49,"")</f>
        <v/>
      </c>
      <c r="X13" s="513"/>
      <c r="Y13" s="535"/>
      <c r="Z13" s="529"/>
    </row>
    <row r="14" spans="1:27" ht="14.1" customHeight="1">
      <c r="A14" s="526"/>
      <c r="B14" s="527"/>
      <c r="C14" s="540" t="s">
        <v>270</v>
      </c>
      <c r="D14" s="540"/>
      <c r="E14" s="540"/>
      <c r="F14" s="540"/>
      <c r="G14" s="541"/>
      <c r="H14" s="542"/>
      <c r="I14" s="533"/>
      <c r="J14" s="533"/>
      <c r="K14" s="533"/>
      <c r="L14" s="533"/>
      <c r="M14" s="533"/>
      <c r="N14" s="533"/>
      <c r="O14" s="534"/>
      <c r="P14" s="532"/>
      <c r="Q14" s="534"/>
      <c r="R14" s="532"/>
      <c r="S14" s="533"/>
      <c r="T14" s="533"/>
      <c r="U14" s="533"/>
      <c r="V14" s="533"/>
      <c r="W14" s="533"/>
      <c r="X14" s="537"/>
      <c r="Y14" s="536"/>
      <c r="Z14" s="530"/>
    </row>
    <row r="15" spans="1:27" ht="13.5" customHeight="1">
      <c r="A15" s="574" t="str">
        <f>IF($D4="R&amp;D","HIDE ROW",IF($D4="Capital","Equity or Equivalent",IF($D4="Employment","Equity or Equivalent",IF($D4="Training","HIDE ROW",IF($D4="Business Asset Grant (BAG)","HIDE ROW",IF($D4="Feasability","HIDE ROW"))))))</f>
        <v>HIDE ROW</v>
      </c>
      <c r="B15" s="575"/>
      <c r="C15" s="575"/>
      <c r="D15" s="575"/>
      <c r="E15" s="575"/>
      <c r="F15" s="575"/>
      <c r="G15" s="575"/>
      <c r="H15" s="576"/>
      <c r="I15" s="577" t="s">
        <v>272</v>
      </c>
      <c r="J15" s="577"/>
      <c r="K15" s="577"/>
      <c r="L15" s="577"/>
      <c r="M15" s="577" t="s">
        <v>273</v>
      </c>
      <c r="N15" s="577"/>
      <c r="O15" s="577"/>
      <c r="P15" s="577"/>
      <c r="Q15" s="577" t="s">
        <v>274</v>
      </c>
      <c r="R15" s="577"/>
      <c r="S15" s="577"/>
      <c r="T15" s="578"/>
      <c r="U15" s="577" t="s">
        <v>275</v>
      </c>
      <c r="V15" s="577"/>
      <c r="W15" s="577"/>
      <c r="X15" s="578"/>
      <c r="Y15" s="579"/>
      <c r="Z15" s="567"/>
    </row>
    <row r="16" spans="1:27" ht="14.1" customHeight="1">
      <c r="A16" s="559" t="str">
        <f>IF(D4="R&amp;D","HIDE ROW",IF(D4="Capital","Ordinary Share Capital (Minimum 25%)",IF(D4="Employment","Ordinary Share Capital (Minimum 25%)",IF(D4="Training","HIDE ROW",IF(D4="Business Asset Grant (BAG)","HIDE ROW",IF(D4="Feasability","HIDE ROW"))))))</f>
        <v>HIDE ROW</v>
      </c>
      <c r="B16" s="560"/>
      <c r="C16" s="560"/>
      <c r="D16" s="560"/>
      <c r="E16" s="560"/>
      <c r="F16" s="560"/>
      <c r="G16" s="560"/>
      <c r="H16" s="561"/>
      <c r="I16" s="569"/>
      <c r="J16" s="570"/>
      <c r="K16" s="570"/>
      <c r="L16" s="570"/>
      <c r="M16" s="571"/>
      <c r="N16" s="572"/>
      <c r="O16" s="572"/>
      <c r="P16" s="569"/>
      <c r="Q16" s="571"/>
      <c r="R16" s="572"/>
      <c r="S16" s="572"/>
      <c r="T16" s="569"/>
      <c r="U16" s="570"/>
      <c r="V16" s="570"/>
      <c r="W16" s="570"/>
      <c r="X16" s="573"/>
      <c r="Y16" s="579"/>
      <c r="Z16" s="567"/>
    </row>
    <row r="17" spans="1:35" ht="14.1" customHeight="1">
      <c r="A17" s="559" t="str">
        <f>IF(D4="R&amp;D","HIDE ROW",IF(D4="Capital","NDR (Non-Distributable Reserves)",IF(D4="Employment","NDR (Non-Distributable Reserves)",IF(D4="Training","HIDE ROW",IF(D4="Business Asset Grant (BAG)","HIDE ROW",IF(D4="Feasability","HIDE ROW"))))))</f>
        <v>HIDE ROW</v>
      </c>
      <c r="B17" s="560"/>
      <c r="C17" s="560"/>
      <c r="D17" s="560"/>
      <c r="E17" s="560"/>
      <c r="F17" s="560"/>
      <c r="G17" s="560"/>
      <c r="H17" s="561"/>
      <c r="I17" s="562"/>
      <c r="J17" s="563"/>
      <c r="K17" s="563"/>
      <c r="L17" s="563"/>
      <c r="M17" s="564"/>
      <c r="N17" s="565"/>
      <c r="O17" s="565"/>
      <c r="P17" s="562"/>
      <c r="Q17" s="564"/>
      <c r="R17" s="565"/>
      <c r="S17" s="565"/>
      <c r="T17" s="562"/>
      <c r="U17" s="563"/>
      <c r="V17" s="563"/>
      <c r="W17" s="563"/>
      <c r="X17" s="566"/>
      <c r="Y17" s="579"/>
      <c r="Z17" s="567"/>
      <c r="AD17" s="557"/>
      <c r="AE17" s="558"/>
      <c r="AF17" s="558"/>
      <c r="AG17" s="558"/>
      <c r="AH17" s="558"/>
      <c r="AI17" s="558"/>
    </row>
    <row r="18" spans="1:35" ht="14.1" customHeight="1">
      <c r="A18" s="559" t="str">
        <f>IF($D4="R&amp;D","HIDE ROW",IF($D4="Capital","Capital Contribution",IF($D4="Employment","Capital Contribution",IF($D4="Training","HIDE ROW",IF($D4="Business Asset Grant (BAG)","HIDE ROW",IF($D4="Feasability","HIDE ROW"))))))</f>
        <v>HIDE ROW</v>
      </c>
      <c r="B18" s="560"/>
      <c r="C18" s="560"/>
      <c r="D18" s="560"/>
      <c r="E18" s="560"/>
      <c r="F18" s="560"/>
      <c r="G18" s="560"/>
      <c r="H18" s="561"/>
      <c r="I18" s="562"/>
      <c r="J18" s="563"/>
      <c r="K18" s="563"/>
      <c r="L18" s="563"/>
      <c r="M18" s="564"/>
      <c r="N18" s="565"/>
      <c r="O18" s="565"/>
      <c r="P18" s="562"/>
      <c r="Q18" s="564"/>
      <c r="R18" s="565"/>
      <c r="S18" s="565"/>
      <c r="T18" s="562"/>
      <c r="U18" s="563"/>
      <c r="V18" s="563"/>
      <c r="W18" s="563"/>
      <c r="X18" s="566"/>
      <c r="Y18" s="579"/>
      <c r="Z18" s="567"/>
    </row>
    <row r="19" spans="1:35" ht="14.1" customHeight="1">
      <c r="A19" s="559" t="str">
        <f>IF($D4="R&amp;D","HIDE ROW",IF($D4="Capital","Subordinated Loan",IF($D4="Employment","Subordinated Loan",IF($D4="Training","HIDE ROW",IF($D4="Business Asset Grant (BAG)","HIDE ROW",IF($D4="Feasability","HIDE ROW"))))))</f>
        <v>HIDE ROW</v>
      </c>
      <c r="B19" s="560"/>
      <c r="C19" s="560"/>
      <c r="D19" s="560"/>
      <c r="E19" s="560"/>
      <c r="F19" s="560"/>
      <c r="G19" s="560"/>
      <c r="H19" s="561"/>
      <c r="I19" s="543"/>
      <c r="J19" s="544"/>
      <c r="K19" s="544"/>
      <c r="L19" s="544"/>
      <c r="M19" s="545"/>
      <c r="N19" s="546"/>
      <c r="O19" s="546"/>
      <c r="P19" s="543"/>
      <c r="Q19" s="545"/>
      <c r="R19" s="546"/>
      <c r="S19" s="546"/>
      <c r="T19" s="543"/>
      <c r="U19" s="544"/>
      <c r="V19" s="544"/>
      <c r="W19" s="544"/>
      <c r="X19" s="547"/>
      <c r="Y19" s="580"/>
      <c r="Z19" s="567"/>
    </row>
    <row r="20" spans="1:35" ht="14.1" customHeight="1">
      <c r="A20" s="548" t="str">
        <f>IF($D4="R&amp;D","HIDE ROW",IF($D4="Capital","Total",IF($D4="Employment","Total",IF($D4="Training","HIDE ROW",IF($D4="Business Asset Grant (BAG)","HIDE ROW",IF($D4="Feasability","HIDE ROW"))))))</f>
        <v>HIDE ROW</v>
      </c>
      <c r="B20" s="549"/>
      <c r="C20" s="549"/>
      <c r="D20" s="549"/>
      <c r="E20" s="549"/>
      <c r="F20" s="549"/>
      <c r="G20" s="549"/>
      <c r="H20" s="550"/>
      <c r="I20" s="551">
        <f>SUM(I16:I19)</f>
        <v>0</v>
      </c>
      <c r="J20" s="552"/>
      <c r="K20" s="552"/>
      <c r="L20" s="552"/>
      <c r="M20" s="553">
        <f>SUM(M16:M19)</f>
        <v>0</v>
      </c>
      <c r="N20" s="554"/>
      <c r="O20" s="554"/>
      <c r="P20" s="555"/>
      <c r="Q20" s="553">
        <f>SUM(Q16:Q19)</f>
        <v>0</v>
      </c>
      <c r="R20" s="554"/>
      <c r="S20" s="554"/>
      <c r="T20" s="555"/>
      <c r="U20" s="552">
        <f>SUM(U16:U19)</f>
        <v>0</v>
      </c>
      <c r="V20" s="552"/>
      <c r="W20" s="552"/>
      <c r="X20" s="556"/>
      <c r="Y20" s="581"/>
      <c r="Z20" s="568"/>
    </row>
    <row r="21" spans="1:35" ht="14.1" customHeight="1">
      <c r="A21" s="587" t="str">
        <f>IF($D4="R&amp;D","Insurance:Explosion/Fire/Storm/
Flooding/IDA Interest
-Consequential Loss",IF($D4="Capital","Insurance:Explosion/Fire/Storm/Flooding/IDA Interest
-Consequential Loss",IF($D4="Employment","Insurance:Explosion/Fire/Storm/Flooding/IDA Interest
-Consequential Loss",IF($D4="Training","HIDE ROW",IF($D4="Business Asset Grant (BAG)","Insurance:Explosion/Fire/Storm/Flooding/IDA Interest
-Consequential Loss",IF($D4="Feasability","HIDE ROW"))))))</f>
        <v>HIDE ROW</v>
      </c>
      <c r="B21" s="588"/>
      <c r="C21" s="588"/>
      <c r="D21" s="588"/>
      <c r="E21" s="588"/>
      <c r="F21" s="589"/>
      <c r="G21" s="596" t="s">
        <v>276</v>
      </c>
      <c r="H21" s="596"/>
      <c r="I21" s="597"/>
      <c r="J21" s="513"/>
      <c r="K21" s="598"/>
      <c r="L21" s="512"/>
      <c r="M21" s="513"/>
      <c r="N21" s="513"/>
      <c r="O21" s="599"/>
      <c r="P21" s="600"/>
      <c r="Q21" s="599">
        <f>O22</f>
        <v>0</v>
      </c>
      <c r="R21" s="600"/>
      <c r="S21" s="599">
        <f>Q22</f>
        <v>0</v>
      </c>
      <c r="T21" s="600"/>
      <c r="U21" s="599">
        <f>S22</f>
        <v>0</v>
      </c>
      <c r="V21" s="600"/>
      <c r="W21" s="599">
        <f>U22</f>
        <v>0</v>
      </c>
      <c r="X21" s="600"/>
      <c r="Y21" s="535"/>
      <c r="Z21" s="529"/>
    </row>
    <row r="22" spans="1:35" ht="14.1" customHeight="1">
      <c r="A22" s="590"/>
      <c r="B22" s="591"/>
      <c r="C22" s="591"/>
      <c r="D22" s="591"/>
      <c r="E22" s="591"/>
      <c r="F22" s="592"/>
      <c r="G22" s="596" t="s">
        <v>176</v>
      </c>
      <c r="H22" s="596"/>
      <c r="I22" s="601"/>
      <c r="J22" s="602"/>
      <c r="K22" s="602"/>
      <c r="L22" s="602"/>
      <c r="M22" s="602"/>
      <c r="N22" s="602"/>
      <c r="O22" s="609"/>
      <c r="P22" s="610"/>
      <c r="Q22" s="609"/>
      <c r="R22" s="610"/>
      <c r="S22" s="603"/>
      <c r="T22" s="603"/>
      <c r="U22" s="603"/>
      <c r="V22" s="603"/>
      <c r="W22" s="602"/>
      <c r="X22" s="604"/>
      <c r="Y22" s="535"/>
      <c r="Z22" s="529"/>
    </row>
    <row r="23" spans="1:35" ht="13.5" customHeight="1">
      <c r="A23" s="593"/>
      <c r="B23" s="594"/>
      <c r="C23" s="594"/>
      <c r="D23" s="594"/>
      <c r="E23" s="594"/>
      <c r="F23" s="595"/>
      <c r="G23" s="596" t="s">
        <v>270</v>
      </c>
      <c r="H23" s="596"/>
      <c r="I23" s="605"/>
      <c r="J23" s="605"/>
      <c r="K23" s="605"/>
      <c r="L23" s="605"/>
      <c r="M23" s="582"/>
      <c r="N23" s="583"/>
      <c r="O23" s="582"/>
      <c r="P23" s="583"/>
      <c r="Q23" s="582"/>
      <c r="R23" s="583"/>
      <c r="S23" s="584"/>
      <c r="T23" s="584"/>
      <c r="U23" s="584"/>
      <c r="V23" s="584"/>
      <c r="W23" s="585"/>
      <c r="X23" s="586"/>
      <c r="Y23" s="536"/>
      <c r="Z23" s="530"/>
    </row>
    <row r="24" spans="1:35" ht="14.1" customHeight="1">
      <c r="A24" s="606" t="str">
        <f>IF(D4="R&amp;D","Progress Report",IF(D4="Capital","HIDE ROW",IF(D4="Employment","HIDE ROW",IF(D4="Training","Training Report",IF(D4="Business Asset Grant (BAG)","HIDE ROW",IF(D4="Feasability","HIDE ROW"))))))</f>
        <v>Training Report</v>
      </c>
      <c r="B24" s="607"/>
      <c r="C24" s="608" t="str">
        <f>IF(D4="R&amp;D","Date verified:",IF(D4="Capital","HIDE ROW",IF(D4="Employment","HIDE ROW",IF(D4="Training","Date verified:",IF(D4="Business Asset Grant (BAG)","HIDE ROW",IF(D4="Feasability","HIDE ROW"))))))</f>
        <v>Date verified:</v>
      </c>
      <c r="D24" s="608"/>
      <c r="E24" s="608"/>
      <c r="F24" s="608"/>
      <c r="G24" s="512">
        <f>IF(Control!$B$3=1,Control!B47,"")</f>
        <v>0</v>
      </c>
      <c r="H24" s="513"/>
      <c r="I24" s="512" t="str">
        <f>IF(Control!$B$3=2,Control!B47,"")</f>
        <v/>
      </c>
      <c r="J24" s="513"/>
      <c r="K24" s="512" t="str">
        <f>IF(Control!$B$3=3,Control!B47,"")</f>
        <v/>
      </c>
      <c r="L24" s="513"/>
      <c r="M24" s="512" t="str">
        <f>IF(Control!$B$3=4,Control!B47,"")</f>
        <v/>
      </c>
      <c r="N24" s="513"/>
      <c r="O24" s="512" t="str">
        <f>IF(Control!$B$3=5,Control!B47,"")</f>
        <v/>
      </c>
      <c r="P24" s="513"/>
      <c r="Q24" s="512" t="str">
        <f>IF(Control!$B$3=6,Control!B47,"")</f>
        <v/>
      </c>
      <c r="R24" s="513"/>
      <c r="S24" s="512" t="str">
        <f>IF(Control!$B$3=7,Control!B47,"")</f>
        <v/>
      </c>
      <c r="T24" s="513"/>
      <c r="U24" s="512" t="str">
        <f>IF(Control!$B$3=8,Control!B47,"")</f>
        <v/>
      </c>
      <c r="V24" s="513"/>
      <c r="W24" s="512" t="str">
        <f>IF(Control!$B$3=9,Control!B47,"")</f>
        <v/>
      </c>
      <c r="X24" s="513"/>
      <c r="Y24" s="615"/>
      <c r="Z24" s="611"/>
    </row>
    <row r="25" spans="1:35" ht="14.1" customHeight="1">
      <c r="A25" s="606"/>
      <c r="B25" s="607"/>
      <c r="C25" s="608" t="str">
        <f>IF(D4="R&amp;D","Signed:",IF(D4="Capital","HIDE ROW",IF(D4="Employment","HIDE ROW",IF(D4="Training","Signed:",IF(D4="Business Asset Grant (BAG)","HIDE ROW",IF(D4="Feasability","HIDE ROW"))))))</f>
        <v>Signed:</v>
      </c>
      <c r="D25" s="608"/>
      <c r="E25" s="608"/>
      <c r="F25" s="608"/>
      <c r="G25" s="612"/>
      <c r="H25" s="613"/>
      <c r="I25" s="613"/>
      <c r="J25" s="613"/>
      <c r="K25" s="613"/>
      <c r="L25" s="613"/>
      <c r="M25" s="613"/>
      <c r="N25" s="613"/>
      <c r="O25" s="614"/>
      <c r="P25" s="612"/>
      <c r="Q25" s="614"/>
      <c r="R25" s="612"/>
      <c r="S25" s="613"/>
      <c r="T25" s="613"/>
      <c r="U25" s="613"/>
      <c r="V25" s="613"/>
      <c r="W25" s="613"/>
      <c r="X25" s="617"/>
      <c r="Y25" s="616"/>
      <c r="Z25" s="568"/>
    </row>
    <row r="26" spans="1:35" ht="28.5" hidden="1" customHeight="1">
      <c r="A26" s="629" t="s">
        <v>277</v>
      </c>
      <c r="B26" s="630"/>
      <c r="C26" s="631"/>
      <c r="D26" s="638" t="str">
        <f>IF(D4="R&amp;D","HIDE ROW",IF(D4="Capital","HIDE ROW",IF(D4="Employment","HIDE ROW",IF(D4="Training","HIDE ROW",IF(D4="Business Asset Grant (BAG)","An Investment Output Report to be presented to IDA by the company on performance against Measures and Targets 18 months from the date of the last payment from the grant.",IF(D4="Feasability","HIDE ROW"))))))</f>
        <v>HIDE ROW</v>
      </c>
      <c r="E26" s="639"/>
      <c r="F26" s="639"/>
      <c r="G26" s="639"/>
      <c r="H26" s="639"/>
      <c r="I26" s="639"/>
      <c r="J26" s="639"/>
      <c r="K26" s="639"/>
      <c r="L26" s="639"/>
      <c r="M26" s="639"/>
      <c r="N26" s="639"/>
      <c r="O26" s="639"/>
      <c r="P26" s="639"/>
      <c r="Q26" s="639"/>
      <c r="R26" s="639"/>
      <c r="S26" s="639"/>
      <c r="T26" s="639"/>
      <c r="U26" s="639"/>
      <c r="V26" s="639"/>
      <c r="W26" s="639"/>
      <c r="X26" s="640"/>
      <c r="Y26" s="298"/>
      <c r="Z26" s="299"/>
    </row>
    <row r="27" spans="1:35" ht="14.1" hidden="1" customHeight="1">
      <c r="A27" s="632"/>
      <c r="B27" s="633"/>
      <c r="C27" s="634"/>
      <c r="D27" s="641" t="str">
        <f>IF(D4="R&amp;D","HIDE ROW",IF(D4="Capital","HIDE ROW",IF(D4="Employment","HIDE ROW",IF(D4="Training","HIDE ROW",IF(D4="Business Asset Grant (BAG)","Investment in noted items of Capital Equipment as the basis of grant support.",IF(D4="Feasability","HIDE ROW"))))))</f>
        <v>HIDE ROW</v>
      </c>
      <c r="E27" s="642"/>
      <c r="F27" s="642"/>
      <c r="G27" s="642"/>
      <c r="H27" s="642"/>
      <c r="I27" s="642"/>
      <c r="J27" s="642"/>
      <c r="K27" s="642"/>
      <c r="L27" s="642"/>
      <c r="M27" s="642"/>
      <c r="N27" s="642"/>
      <c r="O27" s="642"/>
      <c r="P27" s="642"/>
      <c r="Q27" s="642"/>
      <c r="R27" s="642"/>
      <c r="S27" s="642"/>
      <c r="T27" s="642"/>
      <c r="U27" s="642"/>
      <c r="V27" s="642"/>
      <c r="W27" s="642"/>
      <c r="X27" s="643"/>
      <c r="Y27" s="298"/>
      <c r="Z27" s="299"/>
    </row>
    <row r="28" spans="1:35" ht="14.1" hidden="1" customHeight="1">
      <c r="A28" s="632"/>
      <c r="B28" s="633"/>
      <c r="C28" s="634"/>
      <c r="D28" s="638" t="str">
        <f>IF(D4="R&amp;D","HIDE ROW",IF(D4="Capital","HIDE ROW",IF(D4="Employment","HIDE ROW",IF(D4="Training","HIDE ROW",IF(D4="Business Asset Grant (BAG)","Liability period is 2 years from final payment of the grant and requires the company to maintain an employee base of:",IF(D4="Feasability","HIDE ROW"))))))</f>
        <v>HIDE ROW</v>
      </c>
      <c r="E28" s="639"/>
      <c r="F28" s="639"/>
      <c r="G28" s="639"/>
      <c r="H28" s="639"/>
      <c r="I28" s="639"/>
      <c r="J28" s="639"/>
      <c r="K28" s="639"/>
      <c r="L28" s="639"/>
      <c r="M28" s="639"/>
      <c r="N28" s="639"/>
      <c r="O28" s="639"/>
      <c r="P28" s="639"/>
      <c r="Q28" s="639"/>
      <c r="R28" s="639"/>
      <c r="S28" s="639"/>
      <c r="T28" s="639"/>
      <c r="U28" s="639"/>
      <c r="V28" s="640"/>
      <c r="W28" s="644"/>
      <c r="X28" s="645"/>
      <c r="Y28" s="298"/>
      <c r="Z28" s="299"/>
    </row>
    <row r="29" spans="1:35" ht="65.25" customHeight="1">
      <c r="A29" s="635"/>
      <c r="B29" s="636"/>
      <c r="C29" s="637"/>
      <c r="D29" s="646" t="s">
        <v>278</v>
      </c>
      <c r="E29" s="647"/>
      <c r="F29" s="648"/>
      <c r="G29" s="649"/>
      <c r="H29" s="649"/>
      <c r="I29" s="649"/>
      <c r="J29" s="649"/>
      <c r="K29" s="649"/>
      <c r="L29" s="649"/>
      <c r="M29" s="649"/>
      <c r="N29" s="649"/>
      <c r="O29" s="649"/>
      <c r="P29" s="649"/>
      <c r="Q29" s="649"/>
      <c r="R29" s="649"/>
      <c r="S29" s="649"/>
      <c r="T29" s="649"/>
      <c r="U29" s="649"/>
      <c r="V29" s="649"/>
      <c r="W29" s="649"/>
      <c r="X29" s="650"/>
      <c r="Y29" s="300"/>
      <c r="Z29" s="301"/>
    </row>
    <row r="30" spans="1:35" ht="14.1" customHeight="1">
      <c r="A30" s="618" t="str">
        <f>IF(D4="Capital","Staged Performance","HIDE ROW")</f>
        <v>HIDE ROW</v>
      </c>
      <c r="B30" s="619"/>
      <c r="C30" s="619"/>
      <c r="D30" s="619"/>
      <c r="E30" s="620"/>
      <c r="F30" s="624" t="s">
        <v>22</v>
      </c>
      <c r="G30" s="625"/>
      <c r="H30" s="626"/>
      <c r="I30" s="627" t="s">
        <v>279</v>
      </c>
      <c r="J30" s="628"/>
      <c r="K30" s="627" t="s">
        <v>280</v>
      </c>
      <c r="L30" s="628"/>
      <c r="M30" s="627" t="s">
        <v>281</v>
      </c>
      <c r="N30" s="628"/>
      <c r="O30" s="627" t="s">
        <v>282</v>
      </c>
      <c r="P30" s="628"/>
      <c r="Q30" s="627" t="s">
        <v>283</v>
      </c>
      <c r="R30" s="628"/>
      <c r="S30" s="627" t="s">
        <v>284</v>
      </c>
      <c r="T30" s="628"/>
      <c r="U30" s="627" t="s">
        <v>285</v>
      </c>
      <c r="V30" s="628"/>
      <c r="W30" s="627" t="s">
        <v>286</v>
      </c>
      <c r="X30" s="628"/>
      <c r="Y30" s="615"/>
      <c r="Z30" s="611"/>
      <c r="AA30" s="663"/>
    </row>
    <row r="31" spans="1:35" ht="14.1" customHeight="1">
      <c r="A31" s="621"/>
      <c r="B31" s="622"/>
      <c r="C31" s="622"/>
      <c r="D31" s="622"/>
      <c r="E31" s="623"/>
      <c r="F31" s="624" t="s">
        <v>287</v>
      </c>
      <c r="G31" s="625"/>
      <c r="H31" s="626"/>
      <c r="I31" s="664"/>
      <c r="J31" s="665"/>
      <c r="K31" s="665"/>
      <c r="L31" s="665"/>
      <c r="M31" s="665"/>
      <c r="N31" s="665"/>
      <c r="O31" s="666"/>
      <c r="P31" s="667"/>
      <c r="Q31" s="666"/>
      <c r="R31" s="667"/>
      <c r="S31" s="665"/>
      <c r="T31" s="665"/>
      <c r="U31" s="665"/>
      <c r="V31" s="665"/>
      <c r="W31" s="665"/>
      <c r="X31" s="668"/>
      <c r="Y31" s="579"/>
      <c r="Z31" s="567"/>
      <c r="AA31" s="663"/>
    </row>
    <row r="32" spans="1:35" ht="14.1" customHeight="1">
      <c r="A32" s="651" t="str">
        <f>IF(D4="Capital","Clawback:","HIDE ROW")</f>
        <v>HIDE ROW</v>
      </c>
      <c r="B32" s="652"/>
      <c r="C32" s="653"/>
      <c r="D32" s="657">
        <v>40546</v>
      </c>
      <c r="E32" s="658"/>
      <c r="F32" s="624" t="s">
        <v>288</v>
      </c>
      <c r="G32" s="625"/>
      <c r="H32" s="626"/>
      <c r="I32" s="661"/>
      <c r="J32" s="662"/>
      <c r="K32" s="662"/>
      <c r="L32" s="662"/>
      <c r="M32" s="662"/>
      <c r="N32" s="662"/>
      <c r="O32" s="672"/>
      <c r="P32" s="673"/>
      <c r="Q32" s="672"/>
      <c r="R32" s="673"/>
      <c r="S32" s="662"/>
      <c r="T32" s="662"/>
      <c r="U32" s="662"/>
      <c r="V32" s="662"/>
      <c r="W32" s="662"/>
      <c r="X32" s="674"/>
      <c r="Y32" s="579"/>
      <c r="Z32" s="567"/>
      <c r="AA32" s="663"/>
    </row>
    <row r="33" spans="1:27" ht="14.1" customHeight="1">
      <c r="A33" s="654"/>
      <c r="B33" s="655"/>
      <c r="C33" s="656"/>
      <c r="D33" s="659"/>
      <c r="E33" s="660"/>
      <c r="F33" s="624" t="s">
        <v>289</v>
      </c>
      <c r="G33" s="625"/>
      <c r="H33" s="626"/>
      <c r="I33" s="675"/>
      <c r="J33" s="671"/>
      <c r="K33" s="671"/>
      <c r="L33" s="671"/>
      <c r="M33" s="671"/>
      <c r="N33" s="671"/>
      <c r="O33" s="669"/>
      <c r="P33" s="670"/>
      <c r="Q33" s="669"/>
      <c r="R33" s="670"/>
      <c r="S33" s="671"/>
      <c r="T33" s="671"/>
      <c r="U33" s="671"/>
      <c r="V33" s="671"/>
      <c r="W33" s="671"/>
      <c r="X33" s="676"/>
      <c r="Y33" s="616"/>
      <c r="Z33" s="568"/>
      <c r="AA33" s="663"/>
    </row>
    <row r="34" spans="1:27" ht="14.1" customHeight="1">
      <c r="A34" s="680" t="str">
        <f>IF(D4="R&amp;D","R&amp;D Revenue Breakdown",IF(D4="Capital","HIDE ROW",IF(D4="Employment","Fixed Asset Investment",IF(D4="Training","HIDE ROW",IF(D4="Business Asset Grant (BAG)","HIDE ROW",IF(D4="Feasability","Feasability Grant Breakdown"))))))</f>
        <v>HIDE ROW</v>
      </c>
      <c r="B34" s="681"/>
      <c r="C34" s="681"/>
      <c r="D34" s="681"/>
      <c r="E34" s="681"/>
      <c r="F34" s="681"/>
      <c r="G34" s="681"/>
      <c r="H34" s="681"/>
      <c r="I34" s="682" t="s">
        <v>272</v>
      </c>
      <c r="J34" s="682"/>
      <c r="K34" s="682"/>
      <c r="L34" s="682"/>
      <c r="M34" s="682" t="s">
        <v>273</v>
      </c>
      <c r="N34" s="682"/>
      <c r="O34" s="682"/>
      <c r="P34" s="682"/>
      <c r="Q34" s="682" t="s">
        <v>274</v>
      </c>
      <c r="R34" s="682"/>
      <c r="S34" s="682"/>
      <c r="T34" s="682"/>
      <c r="U34" s="682" t="s">
        <v>275</v>
      </c>
      <c r="V34" s="682"/>
      <c r="W34" s="682"/>
      <c r="X34" s="683"/>
      <c r="Y34" s="615"/>
      <c r="Z34" s="611"/>
    </row>
    <row r="35" spans="1:27" ht="14.1" customHeight="1">
      <c r="A35" s="677"/>
      <c r="B35" s="678"/>
      <c r="C35" s="678"/>
      <c r="D35" s="678"/>
      <c r="E35" s="678" t="str">
        <f>IF(D4="R&amp;D","Salaries",IF(D4="Capital","HIDE ROW",IF(D4="Employment","Land",IF(D4="Training","HIDE ROW",IF(D4="Business Asset Grant (BAG)","HIDE ROW",IF(D4="Feasability","Salaries"))))))</f>
        <v>HIDE ROW</v>
      </c>
      <c r="F35" s="678"/>
      <c r="G35" s="678"/>
      <c r="H35" s="679"/>
      <c r="I35" s="570"/>
      <c r="J35" s="570"/>
      <c r="K35" s="570"/>
      <c r="L35" s="570"/>
      <c r="M35" s="570"/>
      <c r="N35" s="570"/>
      <c r="O35" s="570"/>
      <c r="P35" s="570"/>
      <c r="Q35" s="570"/>
      <c r="R35" s="570"/>
      <c r="S35" s="570"/>
      <c r="T35" s="570"/>
      <c r="U35" s="570"/>
      <c r="V35" s="570"/>
      <c r="W35" s="570"/>
      <c r="X35" s="573"/>
      <c r="Y35" s="579"/>
      <c r="Z35" s="567"/>
    </row>
    <row r="36" spans="1:27" ht="14.1" customHeight="1">
      <c r="A36" s="677"/>
      <c r="B36" s="678"/>
      <c r="C36" s="678"/>
      <c r="D36" s="678"/>
      <c r="E36" s="678" t="str">
        <f>IF(D4="R&amp;D","Overheads",IF(D4="Capital","HIDE ROW",IF(D4="Employment","Building",IF(D4="Training","HIDE ROW",IF(D4="Business Asset Grant (BAG)","HIDE ROW",IF(D4="Feasability","Overheads"))))))</f>
        <v>HIDE ROW</v>
      </c>
      <c r="F36" s="678"/>
      <c r="G36" s="678"/>
      <c r="H36" s="679"/>
      <c r="I36" s="563"/>
      <c r="J36" s="563"/>
      <c r="K36" s="563"/>
      <c r="L36" s="563"/>
      <c r="M36" s="562"/>
      <c r="N36" s="563"/>
      <c r="O36" s="563"/>
      <c r="P36" s="563"/>
      <c r="Q36" s="562"/>
      <c r="R36" s="563"/>
      <c r="S36" s="563"/>
      <c r="T36" s="563"/>
      <c r="U36" s="563"/>
      <c r="V36" s="563"/>
      <c r="W36" s="563"/>
      <c r="X36" s="566"/>
      <c r="Y36" s="579"/>
      <c r="Z36" s="567"/>
    </row>
    <row r="37" spans="1:27" ht="14.1" customHeight="1">
      <c r="A37" s="677"/>
      <c r="B37" s="678"/>
      <c r="C37" s="678"/>
      <c r="D37" s="678"/>
      <c r="E37" s="678" t="str">
        <f>IF(D4="R&amp;D","Materials",IF(D4="Capital","HIDE ROW",IF(D4="Employment","Building Mods.",IF(D4="Training","HIDE ROW",IF(D4="Business Asset Grant (BAG)","HIDE ROW",IF(D4="Feasability","Materials"))))))</f>
        <v>HIDE ROW</v>
      </c>
      <c r="F37" s="678"/>
      <c r="G37" s="678"/>
      <c r="H37" s="679"/>
      <c r="I37" s="563"/>
      <c r="J37" s="563"/>
      <c r="K37" s="563"/>
      <c r="L37" s="563"/>
      <c r="M37" s="563"/>
      <c r="N37" s="563"/>
      <c r="O37" s="563"/>
      <c r="P37" s="563"/>
      <c r="Q37" s="563"/>
      <c r="R37" s="563"/>
      <c r="S37" s="563"/>
      <c r="T37" s="563"/>
      <c r="U37" s="563"/>
      <c r="V37" s="563"/>
      <c r="W37" s="563"/>
      <c r="X37" s="566"/>
      <c r="Y37" s="579"/>
      <c r="Z37" s="567"/>
    </row>
    <row r="38" spans="1:27" ht="14.1" customHeight="1">
      <c r="A38" s="677"/>
      <c r="B38" s="678"/>
      <c r="C38" s="678"/>
      <c r="D38" s="678"/>
      <c r="E38" s="678" t="str">
        <f>IF(D4="R&amp;D","Travel",IF(D4="Capital","HIDE ROW",IF(D4="Employment","Fit-Out &amp; Equipment",IF(D4="Training","HIDE ROW",IF(D4="Business Asset Grant (BAG)","HIDE ROW",IF(D4="Feasability","Travel"))))))</f>
        <v>HIDE ROW</v>
      </c>
      <c r="F38" s="678"/>
      <c r="G38" s="678"/>
      <c r="H38" s="679"/>
      <c r="I38" s="563"/>
      <c r="J38" s="563"/>
      <c r="K38" s="563"/>
      <c r="L38" s="563"/>
      <c r="M38" s="563"/>
      <c r="N38" s="563"/>
      <c r="O38" s="563"/>
      <c r="P38" s="563"/>
      <c r="Q38" s="563"/>
      <c r="R38" s="563"/>
      <c r="S38" s="563"/>
      <c r="T38" s="563"/>
      <c r="U38" s="563"/>
      <c r="V38" s="563"/>
      <c r="W38" s="563"/>
      <c r="X38" s="563"/>
      <c r="Y38" s="579"/>
      <c r="Z38" s="567"/>
    </row>
    <row r="39" spans="1:27" ht="14.1" customHeight="1">
      <c r="A39" s="302"/>
      <c r="B39" s="303"/>
      <c r="C39" s="303"/>
      <c r="D39" s="303"/>
      <c r="E39" s="303"/>
      <c r="F39" s="303"/>
      <c r="G39" s="303"/>
      <c r="H39" s="304" t="str">
        <f>IF(D4="R&amp;D","Consultancy",IF(D4="Capital","HIDE ROW",IF(D4="Employment","HIDE ROW",IF(D4="Training","HIDE ROW",IF(D4="Business Asset Grant (BAG)","HIDE ROW",IF(D4="Feasability","Consultancy"))))))</f>
        <v>HIDE ROW</v>
      </c>
      <c r="I39" s="686"/>
      <c r="J39" s="546"/>
      <c r="K39" s="546"/>
      <c r="L39" s="543"/>
      <c r="M39" s="545"/>
      <c r="N39" s="546"/>
      <c r="O39" s="546"/>
      <c r="P39" s="543"/>
      <c r="Q39" s="545"/>
      <c r="R39" s="546"/>
      <c r="S39" s="546"/>
      <c r="T39" s="543"/>
      <c r="U39" s="545"/>
      <c r="V39" s="546"/>
      <c r="W39" s="546"/>
      <c r="X39" s="687"/>
      <c r="Y39" s="579"/>
      <c r="Z39" s="567"/>
    </row>
    <row r="40" spans="1:27" ht="14.1" customHeight="1">
      <c r="A40" s="677"/>
      <c r="B40" s="678"/>
      <c r="C40" s="678"/>
      <c r="D40" s="678"/>
      <c r="E40" s="678" t="str">
        <f>IF(D4="R&amp;D","Total",IF(D4="Capital","HIDE ROW",IF(D4="Employment","Total",IF(D4="Training","HIDE ROW",IF(D4="Business Asset Grant (BAG)","HIDE ROW",IF(D4="Feasability","Total"))))))</f>
        <v>HIDE ROW</v>
      </c>
      <c r="F40" s="678"/>
      <c r="G40" s="678"/>
      <c r="H40" s="679"/>
      <c r="I40" s="685">
        <f>SUM(I35:L39)</f>
        <v>0</v>
      </c>
      <c r="J40" s="685"/>
      <c r="K40" s="685"/>
      <c r="L40" s="685"/>
      <c r="M40" s="685">
        <f>SUM(M35:P39)</f>
        <v>0</v>
      </c>
      <c r="N40" s="685"/>
      <c r="O40" s="685"/>
      <c r="P40" s="685"/>
      <c r="Q40" s="685">
        <f>SUM(Q35:T39)</f>
        <v>0</v>
      </c>
      <c r="R40" s="685"/>
      <c r="S40" s="685"/>
      <c r="T40" s="685"/>
      <c r="U40" s="685">
        <f>SUM(U35:X39)</f>
        <v>0</v>
      </c>
      <c r="V40" s="685"/>
      <c r="W40" s="685"/>
      <c r="X40" s="685"/>
      <c r="Y40" s="579"/>
      <c r="Z40" s="567"/>
    </row>
    <row r="41" spans="1:27" ht="14.1" customHeight="1">
      <c r="A41" s="654"/>
      <c r="B41" s="655"/>
      <c r="C41" s="655"/>
      <c r="D41" s="655"/>
      <c r="E41" s="655" t="str">
        <f>IF(D4="R&amp;D","Cum. Total",IF(D4="Capital","HIDE ROW",IF(D4="Employment","Cum. Total",IF(D4="Training","HIDE ROW",IF(D4="Business Asset Grant (BAG)","HIDE ROW",IF(D4="Feasability","Cum. Total"))))))</f>
        <v>HIDE ROW</v>
      </c>
      <c r="F41" s="655"/>
      <c r="G41" s="655"/>
      <c r="H41" s="656"/>
      <c r="I41" s="685">
        <f>SUM(E41,I40)</f>
        <v>0</v>
      </c>
      <c r="J41" s="685"/>
      <c r="K41" s="685"/>
      <c r="L41" s="685"/>
      <c r="M41" s="685">
        <f>SUM(I41,M40)</f>
        <v>0</v>
      </c>
      <c r="N41" s="685"/>
      <c r="O41" s="685"/>
      <c r="P41" s="685"/>
      <c r="Q41" s="685">
        <f>SUM(M41,Q40)</f>
        <v>0</v>
      </c>
      <c r="R41" s="685"/>
      <c r="S41" s="685"/>
      <c r="T41" s="685"/>
      <c r="U41" s="685">
        <f>SUM(Q41,U40)</f>
        <v>0</v>
      </c>
      <c r="V41" s="685"/>
      <c r="W41" s="685"/>
      <c r="X41" s="685"/>
      <c r="Y41" s="616"/>
      <c r="Z41" s="568"/>
    </row>
    <row r="42" spans="1:27" ht="14.1" customHeight="1">
      <c r="A42" s="538" t="s">
        <v>290</v>
      </c>
      <c r="B42" s="539"/>
      <c r="C42" s="695" t="s">
        <v>291</v>
      </c>
      <c r="D42" s="695"/>
      <c r="E42" s="597">
        <f>Control!B44</f>
        <v>0</v>
      </c>
      <c r="F42" s="513"/>
      <c r="G42" s="513"/>
      <c r="H42" s="513"/>
      <c r="I42" s="513"/>
      <c r="J42" s="513"/>
      <c r="K42" s="513"/>
      <c r="L42" s="513"/>
      <c r="M42" s="603"/>
      <c r="N42" s="603"/>
      <c r="O42" s="603"/>
      <c r="P42" s="603"/>
      <c r="Q42" s="603"/>
      <c r="R42" s="603"/>
      <c r="S42" s="603"/>
      <c r="T42" s="603"/>
      <c r="U42" s="603"/>
      <c r="V42" s="603"/>
      <c r="W42" s="603"/>
      <c r="X42" s="603"/>
      <c r="Y42" s="689"/>
      <c r="Z42" s="692"/>
    </row>
    <row r="43" spans="1:27" ht="14.1" customHeight="1">
      <c r="A43" s="538"/>
      <c r="B43" s="539"/>
      <c r="C43" s="596" t="s">
        <v>130</v>
      </c>
      <c r="D43" s="596"/>
      <c r="E43" s="601"/>
      <c r="F43" s="602"/>
      <c r="G43" s="603"/>
      <c r="H43" s="603"/>
      <c r="I43" s="603"/>
      <c r="J43" s="603"/>
      <c r="K43" s="603"/>
      <c r="L43" s="603"/>
      <c r="M43" s="603"/>
      <c r="N43" s="603"/>
      <c r="O43" s="603"/>
      <c r="P43" s="603"/>
      <c r="Q43" s="603"/>
      <c r="R43" s="603"/>
      <c r="S43" s="603"/>
      <c r="T43" s="603"/>
      <c r="U43" s="603"/>
      <c r="V43" s="603"/>
      <c r="W43" s="603"/>
      <c r="X43" s="684"/>
      <c r="Y43" s="690"/>
      <c r="Z43" s="693"/>
    </row>
    <row r="44" spans="1:27" ht="14.1" customHeight="1">
      <c r="A44" s="538"/>
      <c r="B44" s="539"/>
      <c r="C44" s="695" t="s">
        <v>270</v>
      </c>
      <c r="D44" s="695"/>
      <c r="E44" s="709"/>
      <c r="F44" s="533"/>
      <c r="G44" s="584"/>
      <c r="H44" s="584"/>
      <c r="I44" s="584"/>
      <c r="J44" s="584"/>
      <c r="K44" s="584"/>
      <c r="L44" s="584"/>
      <c r="M44" s="584"/>
      <c r="N44" s="584"/>
      <c r="O44" s="584"/>
      <c r="P44" s="584"/>
      <c r="Q44" s="584"/>
      <c r="R44" s="584"/>
      <c r="S44" s="584"/>
      <c r="T44" s="584"/>
      <c r="U44" s="584"/>
      <c r="V44" s="584"/>
      <c r="W44" s="584"/>
      <c r="X44" s="705"/>
      <c r="Y44" s="691"/>
      <c r="Z44" s="694"/>
    </row>
    <row r="45" spans="1:27" ht="14.1" customHeight="1">
      <c r="A45" s="629" t="s">
        <v>292</v>
      </c>
      <c r="B45" s="630"/>
      <c r="C45" s="630"/>
      <c r="D45" s="631"/>
      <c r="E45" s="706" t="s">
        <v>293</v>
      </c>
      <c r="F45" s="706"/>
      <c r="G45" s="706"/>
      <c r="H45" s="706"/>
      <c r="I45" s="706"/>
      <c r="J45" s="706"/>
      <c r="K45" s="706"/>
      <c r="L45" s="706"/>
      <c r="M45" s="706"/>
      <c r="N45" s="706"/>
      <c r="O45" s="706"/>
      <c r="P45" s="706"/>
      <c r="Q45" s="706"/>
      <c r="R45" s="706"/>
      <c r="S45" s="706"/>
      <c r="T45" s="707"/>
      <c r="U45" s="707"/>
      <c r="V45" s="707"/>
      <c r="W45" s="707"/>
      <c r="X45" s="707"/>
      <c r="Y45" s="305"/>
      <c r="Z45" s="306"/>
    </row>
    <row r="46" spans="1:27" ht="27.95" customHeight="1">
      <c r="A46" s="632"/>
      <c r="B46" s="633"/>
      <c r="C46" s="633"/>
      <c r="D46" s="634"/>
      <c r="E46" s="706" t="str">
        <f>IF(D4="Training","At 80% the company &amp; IDA shall review the development of the training to date and that the training is carried out substantially in accordance witht the training plan.",IF(D4="R&amp;D","Refer to project milestones",IF(D4="Business Asset Grant (BAG)","Number of Employees to be maintained 2 years from the final grant payment that the grant is repayable in full (Responsibility lies on Project Executives to follow up on this):",IF(D4="Employment","Fixed Asset Obligations",IF(D4="Capital","HIDE ROW",IF(D4="Feasability","Technical Report has been received and signed by Project Executive (PE consults with Technologist to review report)."))))))</f>
        <v>At 80% the company &amp; IDA shall review the development of the training to date and that the training is carried out substantially in accordance witht the training plan.</v>
      </c>
      <c r="F46" s="706"/>
      <c r="G46" s="706"/>
      <c r="H46" s="706"/>
      <c r="I46" s="706"/>
      <c r="J46" s="706"/>
      <c r="K46" s="706"/>
      <c r="L46" s="706"/>
      <c r="M46" s="706"/>
      <c r="N46" s="706"/>
      <c r="O46" s="706"/>
      <c r="P46" s="706"/>
      <c r="Q46" s="706"/>
      <c r="R46" s="706"/>
      <c r="S46" s="706"/>
      <c r="T46" s="707"/>
      <c r="U46" s="707"/>
      <c r="V46" s="707"/>
      <c r="W46" s="707"/>
      <c r="X46" s="707"/>
      <c r="Y46" s="305"/>
      <c r="Z46" s="306"/>
    </row>
    <row r="47" spans="1:27" ht="28.5" customHeight="1">
      <c r="A47" s="632"/>
      <c r="B47" s="633"/>
      <c r="C47" s="633"/>
      <c r="D47" s="634"/>
      <c r="E47" s="708" t="str">
        <f>IF(D4="Training","Within 6 months of the completion of the TP the company shall furnish the IDA with a report containing an overview of the training and an evaluation of the impact.","HIDE ROW")</f>
        <v>Within 6 months of the completion of the TP the company shall furnish the IDA with a report containing an overview of the training and an evaluation of the impact.</v>
      </c>
      <c r="F47" s="708"/>
      <c r="G47" s="708"/>
      <c r="H47" s="708"/>
      <c r="I47" s="708"/>
      <c r="J47" s="708"/>
      <c r="K47" s="708"/>
      <c r="L47" s="708"/>
      <c r="M47" s="708"/>
      <c r="N47" s="708"/>
      <c r="O47" s="708"/>
      <c r="P47" s="708"/>
      <c r="Q47" s="708"/>
      <c r="R47" s="708"/>
      <c r="S47" s="708"/>
      <c r="T47" s="710"/>
      <c r="U47" s="710"/>
      <c r="V47" s="710"/>
      <c r="W47" s="710"/>
      <c r="X47" s="710"/>
      <c r="Y47" s="298"/>
      <c r="Z47" s="299"/>
    </row>
    <row r="48" spans="1:27" ht="52.5" customHeight="1">
      <c r="A48" s="635"/>
      <c r="B48" s="636"/>
      <c r="C48" s="636"/>
      <c r="D48" s="637"/>
      <c r="E48" s="307" t="s">
        <v>278</v>
      </c>
      <c r="F48" s="688"/>
      <c r="G48" s="688"/>
      <c r="H48" s="688"/>
      <c r="I48" s="688"/>
      <c r="J48" s="688"/>
      <c r="K48" s="688"/>
      <c r="L48" s="688"/>
      <c r="M48" s="688"/>
      <c r="N48" s="688"/>
      <c r="O48" s="688"/>
      <c r="P48" s="688"/>
      <c r="Q48" s="688"/>
      <c r="R48" s="688"/>
      <c r="S48" s="688"/>
      <c r="T48" s="688"/>
      <c r="U48" s="688"/>
      <c r="V48" s="688"/>
      <c r="W48" s="688"/>
      <c r="X48" s="688"/>
      <c r="Y48" s="308"/>
      <c r="Z48" s="309"/>
    </row>
    <row r="49" spans="1:29" s="289" customFormat="1" ht="14.1" customHeight="1" thickBot="1">
      <c r="A49" s="696" t="s">
        <v>294</v>
      </c>
      <c r="B49" s="697"/>
      <c r="C49" s="698"/>
      <c r="D49" s="698"/>
      <c r="E49" s="698"/>
      <c r="F49" s="699" t="s">
        <v>295</v>
      </c>
      <c r="G49" s="700"/>
      <c r="H49" s="700"/>
      <c r="I49" s="700"/>
      <c r="J49" s="700"/>
      <c r="K49" s="700"/>
      <c r="L49" s="700"/>
      <c r="M49" s="700"/>
      <c r="N49" s="700"/>
      <c r="O49" s="700"/>
      <c r="P49" s="700"/>
      <c r="Q49" s="700"/>
      <c r="R49" s="700"/>
      <c r="S49" s="700"/>
      <c r="T49" s="700"/>
      <c r="U49" s="700"/>
      <c r="V49" s="700"/>
      <c r="W49" s="700"/>
      <c r="X49" s="701"/>
      <c r="Y49" s="310"/>
      <c r="Z49" s="311"/>
      <c r="AC49"/>
    </row>
    <row r="50" spans="1:29" s="289" customFormat="1" ht="14.1" customHeight="1" thickBot="1">
      <c r="A50" s="702" t="str">
        <f>IF(D4="R&amp;D","R&amp;D Revenue Certified Expenditure",IF(D4="Capital","HIDE THIS SECTION",IF(D4="Employment","HIDE THIS SECTION",IF(D4="Business Asset Grant (BAG)","HIDE THIS SECTION",IF(D4="Training","HIDE THIS SECTION",IF(D4="Feasability","Certified Expenditure"))))))</f>
        <v>HIDE THIS SECTION</v>
      </c>
      <c r="B50" s="703"/>
      <c r="C50" s="703"/>
      <c r="D50" s="703"/>
      <c r="E50" s="703"/>
      <c r="F50" s="703"/>
      <c r="G50" s="703"/>
      <c r="H50" s="704"/>
      <c r="I50" s="702" t="str">
        <f>IF(D4="R&amp;D","R&amp;D Revenue Approved Expenditure",IF(D4="Capital","HIDE THIS SECTION",IF(D4="Employment","HIDE THIS SECTION",IF(D4="Business Asset Grant (BAG)","HIDE THIS SECTION",IF(D4="Training","HIDE THIS SECTION",IF(D4="Feasability","Approved Expenditure"))))))</f>
        <v>HIDE THIS SECTION</v>
      </c>
      <c r="J50" s="703"/>
      <c r="K50" s="703"/>
      <c r="L50" s="703"/>
      <c r="M50" s="703"/>
      <c r="N50" s="703"/>
      <c r="O50" s="703"/>
      <c r="P50" s="703"/>
      <c r="Q50" s="703"/>
      <c r="R50" s="703"/>
      <c r="S50" s="703"/>
      <c r="T50" s="704"/>
      <c r="U50" s="702" t="str">
        <f>IF(D4="R&amp;D","Total Limit",IF(D4="Capital","HIDE THIS SECTION",IF(D4="Employment","HIDE THIS SECTION",IF(D4="Business Asset Grant (BAG)","HIDE THIS SECTION",IF(D4="Training","HIDE THIS SECTION",IF(D4="Feasability","Total Limit"))))))</f>
        <v>HIDE THIS SECTION</v>
      </c>
      <c r="V50" s="703"/>
      <c r="W50" s="703"/>
      <c r="X50" s="704"/>
      <c r="Y50" s="702" t="str">
        <f>IF(D4="R&amp;D","Stage",IF(D4="Capital","HIDE THIS SECTION",IF(D4="Employment","HIDE THIS SECTION",IF(D4="Business Asset Grant (BAG)","HIDE THIS SECTION",IF(D4="Training","HIDE THIS SECTION",IF(D4="Feasability","Stage"))))))</f>
        <v>HIDE THIS SECTION</v>
      </c>
      <c r="Z50" s="704"/>
      <c r="AC50"/>
    </row>
    <row r="51" spans="1:29" s="289" customFormat="1" ht="27" customHeight="1">
      <c r="A51" s="711" t="s">
        <v>22</v>
      </c>
      <c r="B51" s="712"/>
      <c r="C51" s="713" t="str">
        <f>IF(D4="R&amp;D","Claimed",IF(D4="Capital"," ",IF(D4="Employment"," ",IF(D4="Business Asset Grant (BAG)"," ",IF(D4="Training"," ",IF(D4="Feasability","Claimed"))))))</f>
        <v xml:space="preserve"> </v>
      </c>
      <c r="D51" s="714"/>
      <c r="E51" s="714"/>
      <c r="F51" s="712"/>
      <c r="G51" s="713" t="s">
        <v>296</v>
      </c>
      <c r="H51" s="715"/>
      <c r="I51" s="711" t="s">
        <v>22</v>
      </c>
      <c r="J51" s="712"/>
      <c r="K51" s="713" t="str">
        <f>IF(D4="R&amp;D","Approved",IF(D4="Capital"," ",IF(D4="Employment"," ",IF(D4="Business Asset Grant (BAG)"," ",IF(D4="Training"," ",IF(D4="Feasability","Approved"))))))</f>
        <v xml:space="preserve"> </v>
      </c>
      <c r="L51" s="714"/>
      <c r="M51" s="714"/>
      <c r="N51" s="712"/>
      <c r="O51" s="713" t="s">
        <v>297</v>
      </c>
      <c r="P51" s="712"/>
      <c r="Q51" s="713" t="str">
        <f>IF(D4="R&amp;D","Deferred",IF(D4="Capital","Deferred",IF(D4="Employment"," ",IF(D4="Business Asset Grant (BAG)","Deferred",IF(D4="Training","Deferred",IF(D4="Feasability","Deferred"))))))</f>
        <v>Deferred</v>
      </c>
      <c r="R51" s="712"/>
      <c r="S51" s="713" t="s">
        <v>296</v>
      </c>
      <c r="T51" s="715"/>
      <c r="U51" s="711" t="s">
        <v>298</v>
      </c>
      <c r="V51" s="712"/>
      <c r="W51" s="713" t="s">
        <v>299</v>
      </c>
      <c r="X51" s="715"/>
      <c r="Y51" s="312" t="s">
        <v>300</v>
      </c>
      <c r="Z51" s="313" t="s">
        <v>22</v>
      </c>
      <c r="AC51"/>
    </row>
    <row r="52" spans="1:29" s="289" customFormat="1" ht="12" customHeight="1">
      <c r="A52" s="730"/>
      <c r="B52" s="731"/>
      <c r="C52" s="732"/>
      <c r="D52" s="733"/>
      <c r="E52" s="733"/>
      <c r="F52" s="734"/>
      <c r="G52" s="716">
        <f>C52</f>
        <v>0</v>
      </c>
      <c r="H52" s="717"/>
      <c r="I52" s="730"/>
      <c r="J52" s="731"/>
      <c r="K52" s="732"/>
      <c r="L52" s="733"/>
      <c r="M52" s="733"/>
      <c r="N52" s="734"/>
      <c r="O52" s="732"/>
      <c r="P52" s="734"/>
      <c r="Q52" s="732"/>
      <c r="R52" s="734"/>
      <c r="S52" s="716">
        <f>K52-O52-Q52</f>
        <v>0</v>
      </c>
      <c r="T52" s="717"/>
      <c r="U52" s="735" t="e">
        <f>IF($D$4="Employment",S52,IF(MOD(ABS(S52*$X$4),(1/(10^0)))&lt;=0.5*(1/(10^0)),ROUNDDOWN(S52*$X$4,0),ROUNDUP(S52*$X$4,0)))</f>
        <v>#VALUE!</v>
      </c>
      <c r="V52" s="736"/>
      <c r="W52" s="716" t="str">
        <f>IF(OR(ISBLANK(I52)),"",SUM(W51,U52))</f>
        <v/>
      </c>
      <c r="X52" s="717"/>
      <c r="Y52" s="314"/>
      <c r="Z52" s="315"/>
      <c r="AC52"/>
    </row>
    <row r="53" spans="1:29" s="289" customFormat="1" ht="12" customHeight="1">
      <c r="A53" s="718"/>
      <c r="B53" s="719"/>
      <c r="C53" s="720"/>
      <c r="D53" s="721"/>
      <c r="E53" s="721"/>
      <c r="F53" s="722"/>
      <c r="G53" s="723">
        <f t="shared" ref="G53:G63" si="0">C53</f>
        <v>0</v>
      </c>
      <c r="H53" s="724"/>
      <c r="I53" s="718"/>
      <c r="J53" s="719"/>
      <c r="K53" s="725"/>
      <c r="L53" s="726"/>
      <c r="M53" s="726"/>
      <c r="N53" s="727"/>
      <c r="O53" s="720"/>
      <c r="P53" s="722"/>
      <c r="Q53" s="720"/>
      <c r="R53" s="722"/>
      <c r="S53" s="723">
        <f t="shared" ref="S53:S63" si="1">K53-O53-Q53</f>
        <v>0</v>
      </c>
      <c r="T53" s="724"/>
      <c r="U53" s="728" t="e">
        <f>IF($D$4="Employment",S53,IF(MOD(ABS(S53*$X$4),(1/(10^0)))&lt;=0.5*(1/(10^0)),ROUNDDOWN(S53*$X$4,0),ROUNDUP(S53*$X$4,0)))</f>
        <v>#VALUE!</v>
      </c>
      <c r="V53" s="729"/>
      <c r="W53" s="723" t="str">
        <f>IF(I53="","",W52+U53)</f>
        <v/>
      </c>
      <c r="X53" s="724"/>
      <c r="Y53" s="314"/>
      <c r="Z53" s="315"/>
      <c r="AC53"/>
    </row>
    <row r="54" spans="1:29" s="289" customFormat="1" ht="12" customHeight="1">
      <c r="A54" s="718"/>
      <c r="B54" s="719"/>
      <c r="C54" s="720"/>
      <c r="D54" s="721"/>
      <c r="E54" s="721"/>
      <c r="F54" s="722"/>
      <c r="G54" s="723">
        <f t="shared" si="0"/>
        <v>0</v>
      </c>
      <c r="H54" s="724"/>
      <c r="I54" s="718"/>
      <c r="J54" s="719"/>
      <c r="K54" s="725"/>
      <c r="L54" s="726"/>
      <c r="M54" s="726"/>
      <c r="N54" s="727"/>
      <c r="O54" s="720"/>
      <c r="P54" s="722"/>
      <c r="Q54" s="720"/>
      <c r="R54" s="722"/>
      <c r="S54" s="723">
        <f t="shared" si="1"/>
        <v>0</v>
      </c>
      <c r="T54" s="724"/>
      <c r="U54" s="728" t="e">
        <f t="shared" ref="U54:U63" si="2">IF($D$4="Employment",S54,IF(MOD(ABS(S54*$X$4),(1/(10^0)))&lt;=0.5*(1/(10^0)),ROUNDDOWN(S54*$X$4,0),ROUNDUP(S54*$X$4,0)))</f>
        <v>#VALUE!</v>
      </c>
      <c r="V54" s="729"/>
      <c r="W54" s="723" t="str">
        <f>IF(I54="","",W53+U54)</f>
        <v/>
      </c>
      <c r="X54" s="724"/>
      <c r="Y54" s="314"/>
      <c r="Z54" s="315"/>
      <c r="AC54"/>
    </row>
    <row r="55" spans="1:29" s="289" customFormat="1" ht="12" customHeight="1">
      <c r="A55" s="718"/>
      <c r="B55" s="719"/>
      <c r="C55" s="720"/>
      <c r="D55" s="721"/>
      <c r="E55" s="721"/>
      <c r="F55" s="722"/>
      <c r="G55" s="723">
        <f t="shared" si="0"/>
        <v>0</v>
      </c>
      <c r="H55" s="724"/>
      <c r="I55" s="718"/>
      <c r="J55" s="719"/>
      <c r="K55" s="725"/>
      <c r="L55" s="726"/>
      <c r="M55" s="726"/>
      <c r="N55" s="727"/>
      <c r="O55" s="720"/>
      <c r="P55" s="722"/>
      <c r="Q55" s="720"/>
      <c r="R55" s="722"/>
      <c r="S55" s="723">
        <f t="shared" si="1"/>
        <v>0</v>
      </c>
      <c r="T55" s="724"/>
      <c r="U55" s="728" t="e">
        <f t="shared" si="2"/>
        <v>#VALUE!</v>
      </c>
      <c r="V55" s="729"/>
      <c r="W55" s="723" t="str">
        <f>IF(I55="","",W54+U55)</f>
        <v/>
      </c>
      <c r="X55" s="724"/>
      <c r="Y55" s="314"/>
      <c r="Z55" s="315"/>
      <c r="AC55"/>
    </row>
    <row r="56" spans="1:29" ht="12" customHeight="1">
      <c r="A56" s="718"/>
      <c r="B56" s="719"/>
      <c r="C56" s="720"/>
      <c r="D56" s="721"/>
      <c r="E56" s="721"/>
      <c r="F56" s="722"/>
      <c r="G56" s="723">
        <f t="shared" si="0"/>
        <v>0</v>
      </c>
      <c r="H56" s="724"/>
      <c r="I56" s="718"/>
      <c r="J56" s="719"/>
      <c r="K56" s="725"/>
      <c r="L56" s="726"/>
      <c r="M56" s="726"/>
      <c r="N56" s="727"/>
      <c r="O56" s="720"/>
      <c r="P56" s="722"/>
      <c r="Q56" s="720"/>
      <c r="R56" s="722"/>
      <c r="S56" s="723">
        <f t="shared" si="1"/>
        <v>0</v>
      </c>
      <c r="T56" s="724"/>
      <c r="U56" s="728" t="e">
        <f t="shared" si="2"/>
        <v>#VALUE!</v>
      </c>
      <c r="V56" s="729"/>
      <c r="W56" s="723" t="str">
        <f>IF(I56="","",W55+U56)</f>
        <v/>
      </c>
      <c r="X56" s="724"/>
      <c r="Y56" s="314"/>
      <c r="Z56" s="315"/>
    </row>
    <row r="57" spans="1:29" ht="12" customHeight="1">
      <c r="A57" s="718"/>
      <c r="B57" s="719"/>
      <c r="C57" s="720"/>
      <c r="D57" s="721"/>
      <c r="E57" s="721"/>
      <c r="F57" s="722"/>
      <c r="G57" s="723">
        <f t="shared" si="0"/>
        <v>0</v>
      </c>
      <c r="H57" s="724"/>
      <c r="I57" s="718"/>
      <c r="J57" s="719"/>
      <c r="K57" s="725"/>
      <c r="L57" s="726"/>
      <c r="M57" s="726"/>
      <c r="N57" s="727"/>
      <c r="O57" s="720"/>
      <c r="P57" s="722"/>
      <c r="Q57" s="720"/>
      <c r="R57" s="722"/>
      <c r="S57" s="723">
        <f t="shared" si="1"/>
        <v>0</v>
      </c>
      <c r="T57" s="724"/>
      <c r="U57" s="728" t="e">
        <f t="shared" si="2"/>
        <v>#VALUE!</v>
      </c>
      <c r="V57" s="729"/>
      <c r="W57" s="723" t="str">
        <f>IF(I57="","",W54+U57)</f>
        <v/>
      </c>
      <c r="X57" s="724"/>
      <c r="Y57" s="314"/>
      <c r="Z57" s="315"/>
    </row>
    <row r="58" spans="1:29" ht="12" customHeight="1">
      <c r="A58" s="718"/>
      <c r="B58" s="719"/>
      <c r="C58" s="720"/>
      <c r="D58" s="721"/>
      <c r="E58" s="721"/>
      <c r="F58" s="722"/>
      <c r="G58" s="723">
        <f t="shared" si="0"/>
        <v>0</v>
      </c>
      <c r="H58" s="724"/>
      <c r="I58" s="718"/>
      <c r="J58" s="719"/>
      <c r="K58" s="725"/>
      <c r="L58" s="726"/>
      <c r="M58" s="726"/>
      <c r="N58" s="727"/>
      <c r="O58" s="720"/>
      <c r="P58" s="722"/>
      <c r="Q58" s="720"/>
      <c r="R58" s="722"/>
      <c r="S58" s="723">
        <f t="shared" si="1"/>
        <v>0</v>
      </c>
      <c r="T58" s="724"/>
      <c r="U58" s="728" t="e">
        <f t="shared" si="2"/>
        <v>#VALUE!</v>
      </c>
      <c r="V58" s="729"/>
      <c r="W58" s="723" t="str">
        <f>IF(I58="","",W53+U58)</f>
        <v/>
      </c>
      <c r="X58" s="724"/>
      <c r="Y58" s="314"/>
      <c r="Z58" s="315"/>
    </row>
    <row r="59" spans="1:29" ht="12" customHeight="1">
      <c r="A59" s="718"/>
      <c r="B59" s="719"/>
      <c r="C59" s="720"/>
      <c r="D59" s="721"/>
      <c r="E59" s="721"/>
      <c r="F59" s="722"/>
      <c r="G59" s="723">
        <f t="shared" si="0"/>
        <v>0</v>
      </c>
      <c r="H59" s="724"/>
      <c r="I59" s="737"/>
      <c r="J59" s="719"/>
      <c r="K59" s="725"/>
      <c r="L59" s="726"/>
      <c r="M59" s="726"/>
      <c r="N59" s="727"/>
      <c r="O59" s="738"/>
      <c r="P59" s="738"/>
      <c r="Q59" s="738"/>
      <c r="R59" s="738"/>
      <c r="S59" s="723">
        <f t="shared" si="1"/>
        <v>0</v>
      </c>
      <c r="T59" s="724"/>
      <c r="U59" s="728" t="e">
        <f t="shared" si="2"/>
        <v>#VALUE!</v>
      </c>
      <c r="V59" s="729"/>
      <c r="W59" s="723" t="str">
        <f>IF(I59="","",W53+U59)</f>
        <v/>
      </c>
      <c r="X59" s="724"/>
      <c r="Y59" s="314"/>
      <c r="Z59" s="315"/>
    </row>
    <row r="60" spans="1:29" ht="12" customHeight="1">
      <c r="A60" s="718"/>
      <c r="B60" s="719"/>
      <c r="C60" s="720"/>
      <c r="D60" s="721"/>
      <c r="E60" s="721"/>
      <c r="F60" s="722"/>
      <c r="G60" s="723">
        <f t="shared" si="0"/>
        <v>0</v>
      </c>
      <c r="H60" s="724"/>
      <c r="I60" s="737"/>
      <c r="J60" s="719"/>
      <c r="K60" s="725"/>
      <c r="L60" s="726"/>
      <c r="M60" s="726"/>
      <c r="N60" s="727"/>
      <c r="O60" s="738"/>
      <c r="P60" s="738"/>
      <c r="Q60" s="738"/>
      <c r="R60" s="738"/>
      <c r="S60" s="723">
        <f t="shared" si="1"/>
        <v>0</v>
      </c>
      <c r="T60" s="724"/>
      <c r="U60" s="728" t="e">
        <f t="shared" si="2"/>
        <v>#VALUE!</v>
      </c>
      <c r="V60" s="729"/>
      <c r="W60" s="723" t="str">
        <f>IF(I60="","",W54+U60)</f>
        <v/>
      </c>
      <c r="X60" s="724"/>
      <c r="Y60" s="314"/>
      <c r="Z60" s="315"/>
    </row>
    <row r="61" spans="1:29" ht="12" customHeight="1">
      <c r="A61" s="718"/>
      <c r="B61" s="719"/>
      <c r="C61" s="720"/>
      <c r="D61" s="721"/>
      <c r="E61" s="721"/>
      <c r="F61" s="722"/>
      <c r="G61" s="723">
        <f t="shared" si="0"/>
        <v>0</v>
      </c>
      <c r="H61" s="724"/>
      <c r="I61" s="737"/>
      <c r="J61" s="719"/>
      <c r="K61" s="725"/>
      <c r="L61" s="726"/>
      <c r="M61" s="726"/>
      <c r="N61" s="727"/>
      <c r="O61" s="738"/>
      <c r="P61" s="738"/>
      <c r="Q61" s="738"/>
      <c r="R61" s="738"/>
      <c r="S61" s="723">
        <f t="shared" si="1"/>
        <v>0</v>
      </c>
      <c r="T61" s="724"/>
      <c r="U61" s="728" t="e">
        <f t="shared" si="2"/>
        <v>#VALUE!</v>
      </c>
      <c r="V61" s="729"/>
      <c r="W61" s="723" t="str">
        <f>IF(I61="","",W55+U61)</f>
        <v/>
      </c>
      <c r="X61" s="724"/>
      <c r="Y61" s="314"/>
      <c r="Z61" s="315"/>
    </row>
    <row r="62" spans="1:29" ht="12" customHeight="1">
      <c r="A62" s="718"/>
      <c r="B62" s="719"/>
      <c r="C62" s="720"/>
      <c r="D62" s="721"/>
      <c r="E62" s="721"/>
      <c r="F62" s="722"/>
      <c r="G62" s="723">
        <f t="shared" si="0"/>
        <v>0</v>
      </c>
      <c r="H62" s="724"/>
      <c r="I62" s="737"/>
      <c r="J62" s="719"/>
      <c r="K62" s="725"/>
      <c r="L62" s="726"/>
      <c r="M62" s="726"/>
      <c r="N62" s="727"/>
      <c r="O62" s="738"/>
      <c r="P62" s="738"/>
      <c r="Q62" s="738"/>
      <c r="R62" s="738"/>
      <c r="S62" s="723">
        <f t="shared" si="1"/>
        <v>0</v>
      </c>
      <c r="T62" s="724"/>
      <c r="U62" s="728" t="e">
        <f t="shared" si="2"/>
        <v>#VALUE!</v>
      </c>
      <c r="V62" s="729"/>
      <c r="W62" s="723" t="str">
        <f>IF(I62="","",W56+U62)</f>
        <v/>
      </c>
      <c r="X62" s="724"/>
      <c r="Y62" s="314"/>
      <c r="Z62" s="315"/>
    </row>
    <row r="63" spans="1:29" ht="12" customHeight="1" thickBot="1">
      <c r="A63" s="739"/>
      <c r="B63" s="740"/>
      <c r="C63" s="741"/>
      <c r="D63" s="742"/>
      <c r="E63" s="742"/>
      <c r="F63" s="743"/>
      <c r="G63" s="744">
        <f t="shared" si="0"/>
        <v>0</v>
      </c>
      <c r="H63" s="745"/>
      <c r="I63" s="746"/>
      <c r="J63" s="740"/>
      <c r="K63" s="725"/>
      <c r="L63" s="726"/>
      <c r="M63" s="726"/>
      <c r="N63" s="727"/>
      <c r="O63" s="747"/>
      <c r="P63" s="747"/>
      <c r="Q63" s="747"/>
      <c r="R63" s="747"/>
      <c r="S63" s="744">
        <f t="shared" si="1"/>
        <v>0</v>
      </c>
      <c r="T63" s="745"/>
      <c r="U63" s="748" t="e">
        <f t="shared" si="2"/>
        <v>#VALUE!</v>
      </c>
      <c r="V63" s="749"/>
      <c r="W63" s="744" t="str">
        <f>IF(I63="","",#REF!+U63)</f>
        <v/>
      </c>
      <c r="X63" s="745"/>
      <c r="Y63" s="316"/>
      <c r="Z63" s="317"/>
    </row>
    <row r="64" spans="1:29" ht="12" customHeight="1" thickBot="1">
      <c r="A64" s="757">
        <f>MAX(A52:A63)</f>
        <v>0</v>
      </c>
      <c r="B64" s="758"/>
      <c r="C64" s="750">
        <f>SUM(C52:C63)</f>
        <v>0</v>
      </c>
      <c r="D64" s="751"/>
      <c r="E64" s="751"/>
      <c r="F64" s="752"/>
      <c r="G64" s="753">
        <f>SUM(C64:E64)</f>
        <v>0</v>
      </c>
      <c r="H64" s="753"/>
      <c r="I64" s="753">
        <f>MAX(W52:W63)</f>
        <v>0</v>
      </c>
      <c r="J64" s="753"/>
      <c r="K64" s="754">
        <f>SUM(K52:K63)</f>
        <v>0</v>
      </c>
      <c r="L64" s="755"/>
      <c r="M64" s="755"/>
      <c r="N64" s="756"/>
      <c r="O64" s="753">
        <f>SUM(O52:O63)</f>
        <v>0</v>
      </c>
      <c r="P64" s="753"/>
      <c r="Q64" s="753">
        <f>SUM(Q52:Q63)</f>
        <v>0</v>
      </c>
      <c r="R64" s="753"/>
      <c r="S64" s="753">
        <f>SUM(S52:S63)</f>
        <v>0</v>
      </c>
      <c r="T64" s="753"/>
      <c r="U64" s="753" t="e">
        <f>SUM(U52:U63)</f>
        <v>#VALUE!</v>
      </c>
      <c r="V64" s="753"/>
      <c r="W64" s="753">
        <f>MAX(W52:W63)</f>
        <v>0</v>
      </c>
      <c r="X64" s="753"/>
      <c r="Y64" s="318"/>
      <c r="Z64" s="319">
        <f>MAX(Z52:Z63)</f>
        <v>0</v>
      </c>
    </row>
    <row r="65" spans="1:26" ht="12" customHeight="1" thickBot="1">
      <c r="A65" s="702" t="str">
        <f>IF(D4="R&amp;D","R&amp;D Capital Certified Expenditure",IF(D4="Capital","Certified Expenditure",IF(D4="Employment","Certified",IF(D4="Business Asset Grant (BAG)","Certified Expenditure",IF(D4="Training","Certified Expenditure",IF(D4="Feasability","HIDE THIS SECTION"))))))</f>
        <v>Certified Expenditure</v>
      </c>
      <c r="B65" s="703"/>
      <c r="C65" s="703"/>
      <c r="D65" s="703"/>
      <c r="E65" s="703"/>
      <c r="F65" s="703"/>
      <c r="G65" s="703"/>
      <c r="H65" s="704"/>
      <c r="I65" s="702" t="str">
        <f>IF(D4="R&amp;D","R&amp;D Capital Approved Expenditure",IF(D4="Capital","Approved Expenditure",IF(D4="Employment","Approved",IF(D4="Business Asset Grant (BAG)","Approved Expenditure",IF(D4="Training","Approved Expenditure",IF(D4="Feasability","HIDE THIS SECTION"))))))</f>
        <v>Approved Expenditure</v>
      </c>
      <c r="J65" s="703"/>
      <c r="K65" s="703"/>
      <c r="L65" s="703"/>
      <c r="M65" s="703"/>
      <c r="N65" s="703"/>
      <c r="O65" s="703"/>
      <c r="P65" s="703"/>
      <c r="Q65" s="703"/>
      <c r="R65" s="703"/>
      <c r="S65" s="703"/>
      <c r="T65" s="704"/>
      <c r="U65" s="702" t="str">
        <f>IF(D4="R&amp;D","Total Limit",IF(D4="Capital","Total Limit",IF(D4="Employment","Total Limit",IF(D4="Business Asset Grant (BAG)","Total Limit",IF(D4="Training","Total Limit",IF(D4="Feasability","HIDE THIS SECTION"))))))</f>
        <v>Total Limit</v>
      </c>
      <c r="V65" s="703"/>
      <c r="W65" s="703"/>
      <c r="X65" s="704"/>
      <c r="Y65" s="702" t="str">
        <f>IF(D4="R&amp;D","Stage",IF(D4="Capital","Stage",IF(D4="Employment","Stage",IF(D4="Business Asset Grant (BAG)","Stage",IF(D4="Training","Stage",IF(D4="Feasability","HIDE THIS SECTION"))))))</f>
        <v>Stage</v>
      </c>
      <c r="Z65" s="704"/>
    </row>
    <row r="66" spans="1:26" ht="24" customHeight="1">
      <c r="A66" s="711" t="s">
        <v>22</v>
      </c>
      <c r="B66" s="712"/>
      <c r="C66" s="713" t="str">
        <f>IF(D4="R&amp;D","Site &amp; Buildings",IF(D4="Capital","Site &amp; Buildings",IF(D4="Employment","Eligible Jobs",IF(D4="Business Asset Grant (BAG)","Site &amp; Buildings",IF(D4="Training","Training Expenditure",IF(D4="Feasability","Site &amp; Buildings"))))))</f>
        <v>Training Expenditure</v>
      </c>
      <c r="D66" s="712"/>
      <c r="E66" s="713" t="str">
        <f>IF(D4="R&amp;D","Machinery",IF(D4="Capital","Machinery",IF(D4="Employment"," ",IF(D4="Business Asset Grant (BAG)","Machinery",IF(D4="Training"," ",IF(D4="Feasability","Machinery"))))))</f>
        <v xml:space="preserve"> </v>
      </c>
      <c r="F66" s="712"/>
      <c r="G66" s="713" t="s">
        <v>296</v>
      </c>
      <c r="H66" s="715"/>
      <c r="I66" s="711" t="s">
        <v>301</v>
      </c>
      <c r="J66" s="712"/>
      <c r="K66" s="713" t="str">
        <f>IF(D4="R&amp;D","Site &amp; Buildings",IF(D4="Capital","Site &amp; Buildings",IF(D4="Employment","Eligible Jobs",IF(D4="Business Asset Grant (BAG)","Site &amp; Buildings",IF(D4="Training","Training Expenditure",IF(D4="Feasability","Site &amp; Buildings"))))))</f>
        <v>Training Expenditure</v>
      </c>
      <c r="L66" s="712"/>
      <c r="M66" s="713" t="str">
        <f>IF(D4="R&amp;D","Machinery",IF(D4="Capital","Machinery",IF(D4="Employment"," ",IF(D4="Business Asset Grant (BAG)","Machinery",IF(D4="Training"," ",IF(D4="Feasability","Machinery"))))))</f>
        <v xml:space="preserve"> </v>
      </c>
      <c r="N66" s="712"/>
      <c r="O66" s="713" t="s">
        <v>297</v>
      </c>
      <c r="P66" s="712"/>
      <c r="Q66" s="713" t="str">
        <f>IF(D4="R&amp;D","Deferred",IF(D4="Capital","Deferred",IF(D4="Employment"," ",IF(D4="Business Asset Grant (BAG)","Deferred",IF(D4="Training","Deferred",IF(D4="Feasability","Deferred"))))))</f>
        <v>Deferred</v>
      </c>
      <c r="R66" s="712"/>
      <c r="S66" s="713" t="s">
        <v>296</v>
      </c>
      <c r="T66" s="715"/>
      <c r="U66" s="711" t="s">
        <v>298</v>
      </c>
      <c r="V66" s="712"/>
      <c r="W66" s="713" t="s">
        <v>299</v>
      </c>
      <c r="X66" s="715"/>
      <c r="Y66" s="312" t="s">
        <v>300</v>
      </c>
      <c r="Z66" s="313" t="s">
        <v>22</v>
      </c>
    </row>
    <row r="67" spans="1:26" ht="12" customHeight="1">
      <c r="A67" s="730" t="str">
        <f>Control!B40</f>
        <v xml:space="preserve"> </v>
      </c>
      <c r="B67" s="731"/>
      <c r="C67" s="732">
        <f>Control!D38</f>
        <v>0</v>
      </c>
      <c r="D67" s="734"/>
      <c r="E67" s="732"/>
      <c r="F67" s="734"/>
      <c r="G67" s="716">
        <f>IF($D$4="Employment",C67*$X$5,SUM(C67:E67))</f>
        <v>0</v>
      </c>
      <c r="H67" s="717"/>
      <c r="I67" s="730"/>
      <c r="J67" s="731"/>
      <c r="K67" s="732"/>
      <c r="L67" s="734"/>
      <c r="M67" s="732"/>
      <c r="N67" s="734"/>
      <c r="O67" s="732"/>
      <c r="P67" s="734"/>
      <c r="Q67" s="732"/>
      <c r="R67" s="734"/>
      <c r="S67" s="716">
        <f>IF($D$4="Employment",K67*$X$5,SUM(K67:M67)-O67-Q67)</f>
        <v>0</v>
      </c>
      <c r="T67" s="717"/>
      <c r="U67" s="735" t="e">
        <f>IF($D$4="Employment",S67,IF(MOD(ABS(S67*$X$4),(1/(10^0)))&lt;=0.5*(1/(10^0)),ROUNDDOWN(S67*$X$4,0),ROUNDUP(S67*$X$4,0)))</f>
        <v>#VALUE!</v>
      </c>
      <c r="V67" s="736"/>
      <c r="W67" s="716" t="str">
        <f>IF(OR(ISBLANK(I67)),"",SUM(W66,U67))</f>
        <v/>
      </c>
      <c r="X67" s="717"/>
      <c r="Y67" s="314"/>
      <c r="Z67" s="315"/>
    </row>
    <row r="68" spans="1:26" ht="12" customHeight="1">
      <c r="A68" s="718"/>
      <c r="B68" s="719"/>
      <c r="C68" s="720"/>
      <c r="D68" s="722"/>
      <c r="E68" s="720"/>
      <c r="F68" s="722"/>
      <c r="G68" s="723">
        <f t="shared" ref="G68:G78" si="3">IF($D$4="Employment",C68*$X$5,SUM(C68:E68))</f>
        <v>0</v>
      </c>
      <c r="H68" s="724"/>
      <c r="I68" s="718"/>
      <c r="J68" s="719"/>
      <c r="K68" s="720"/>
      <c r="L68" s="722"/>
      <c r="M68" s="720"/>
      <c r="N68" s="722"/>
      <c r="O68" s="720"/>
      <c r="P68" s="722"/>
      <c r="Q68" s="720"/>
      <c r="R68" s="722"/>
      <c r="S68" s="723">
        <f t="shared" ref="S68:S78" si="4">IF($D$4="Employment",K68*$X$5,SUM(K68:M68)-O68-Q68)</f>
        <v>0</v>
      </c>
      <c r="T68" s="724"/>
      <c r="U68" s="728" t="e">
        <f>IF($D$4="Employment",S68,IF(MOD(ABS(S68*$X$4),(1/(10^0)))&lt;=0.5*(1/(10^0)),ROUNDDOWN(S68*$X$4,0),ROUNDUP(S68*$X$4,0)))</f>
        <v>#VALUE!</v>
      </c>
      <c r="V68" s="729"/>
      <c r="W68" s="723" t="str">
        <f>IF(I68="","",W67+U68)</f>
        <v/>
      </c>
      <c r="X68" s="724"/>
      <c r="Y68" s="314"/>
      <c r="Z68" s="315"/>
    </row>
    <row r="69" spans="1:26" ht="12" customHeight="1">
      <c r="A69" s="718"/>
      <c r="B69" s="719"/>
      <c r="C69" s="720"/>
      <c r="D69" s="722"/>
      <c r="E69" s="720"/>
      <c r="F69" s="722"/>
      <c r="G69" s="723">
        <f t="shared" si="3"/>
        <v>0</v>
      </c>
      <c r="H69" s="724"/>
      <c r="I69" s="718"/>
      <c r="J69" s="719"/>
      <c r="K69" s="720"/>
      <c r="L69" s="722"/>
      <c r="M69" s="720"/>
      <c r="N69" s="722"/>
      <c r="O69" s="720"/>
      <c r="P69" s="722"/>
      <c r="Q69" s="720"/>
      <c r="R69" s="722"/>
      <c r="S69" s="723">
        <f t="shared" si="4"/>
        <v>0</v>
      </c>
      <c r="T69" s="724"/>
      <c r="U69" s="728" t="e">
        <f t="shared" ref="U69:U78" si="5">IF($D$4="Employment",S69,IF(MOD(ABS(S69*$X$4),(1/(10^0)))&lt;=0.5*(1/(10^0)),ROUNDDOWN(S69*$X$4,0),ROUNDUP(S69*$X$4,0)))</f>
        <v>#VALUE!</v>
      </c>
      <c r="V69" s="729"/>
      <c r="W69" s="723" t="str">
        <f>IF(I69="","",W68+U69)</f>
        <v/>
      </c>
      <c r="X69" s="724"/>
      <c r="Y69" s="314"/>
      <c r="Z69" s="315"/>
    </row>
    <row r="70" spans="1:26" ht="12" customHeight="1">
      <c r="A70" s="718"/>
      <c r="B70" s="719"/>
      <c r="C70" s="720"/>
      <c r="D70" s="722"/>
      <c r="E70" s="720"/>
      <c r="F70" s="722"/>
      <c r="G70" s="723">
        <f t="shared" si="3"/>
        <v>0</v>
      </c>
      <c r="H70" s="724"/>
      <c r="I70" s="718"/>
      <c r="J70" s="719"/>
      <c r="K70" s="720"/>
      <c r="L70" s="722"/>
      <c r="M70" s="720"/>
      <c r="N70" s="722"/>
      <c r="O70" s="720"/>
      <c r="P70" s="722"/>
      <c r="Q70" s="720"/>
      <c r="R70" s="722"/>
      <c r="S70" s="723">
        <f t="shared" si="4"/>
        <v>0</v>
      </c>
      <c r="T70" s="724"/>
      <c r="U70" s="728" t="e">
        <f t="shared" si="5"/>
        <v>#VALUE!</v>
      </c>
      <c r="V70" s="729"/>
      <c r="W70" s="723" t="str">
        <f>IF(I70="","",W69+U70)</f>
        <v/>
      </c>
      <c r="X70" s="724"/>
      <c r="Y70" s="314"/>
      <c r="Z70" s="315"/>
    </row>
    <row r="71" spans="1:26" ht="12" customHeight="1">
      <c r="A71" s="718"/>
      <c r="B71" s="719"/>
      <c r="C71" s="720"/>
      <c r="D71" s="722"/>
      <c r="E71" s="720"/>
      <c r="F71" s="722"/>
      <c r="G71" s="723">
        <f t="shared" si="3"/>
        <v>0</v>
      </c>
      <c r="H71" s="724"/>
      <c r="I71" s="718"/>
      <c r="J71" s="719"/>
      <c r="K71" s="720"/>
      <c r="L71" s="722"/>
      <c r="M71" s="720"/>
      <c r="N71" s="722"/>
      <c r="O71" s="720"/>
      <c r="P71" s="722"/>
      <c r="Q71" s="720"/>
      <c r="R71" s="722"/>
      <c r="S71" s="723">
        <f t="shared" si="4"/>
        <v>0</v>
      </c>
      <c r="T71" s="724"/>
      <c r="U71" s="728" t="e">
        <f t="shared" si="5"/>
        <v>#VALUE!</v>
      </c>
      <c r="V71" s="729"/>
      <c r="W71" s="723" t="str">
        <f>IF(I71="","",W70+U71)</f>
        <v/>
      </c>
      <c r="X71" s="724"/>
      <c r="Y71" s="314"/>
      <c r="Z71" s="315"/>
    </row>
    <row r="72" spans="1:26" ht="12" customHeight="1">
      <c r="A72" s="718"/>
      <c r="B72" s="719"/>
      <c r="C72" s="720"/>
      <c r="D72" s="722"/>
      <c r="E72" s="720"/>
      <c r="F72" s="722"/>
      <c r="G72" s="723">
        <f t="shared" si="3"/>
        <v>0</v>
      </c>
      <c r="H72" s="724"/>
      <c r="I72" s="718"/>
      <c r="J72" s="719"/>
      <c r="K72" s="720"/>
      <c r="L72" s="722"/>
      <c r="M72" s="720"/>
      <c r="N72" s="722"/>
      <c r="O72" s="720"/>
      <c r="P72" s="722"/>
      <c r="Q72" s="720"/>
      <c r="R72" s="722"/>
      <c r="S72" s="723">
        <f t="shared" si="4"/>
        <v>0</v>
      </c>
      <c r="T72" s="724"/>
      <c r="U72" s="728" t="e">
        <f t="shared" si="5"/>
        <v>#VALUE!</v>
      </c>
      <c r="V72" s="729"/>
      <c r="W72" s="723" t="str">
        <f>IF(I72="","",W69+U72)</f>
        <v/>
      </c>
      <c r="X72" s="724"/>
      <c r="Y72" s="314"/>
      <c r="Z72" s="315"/>
    </row>
    <row r="73" spans="1:26" ht="12" customHeight="1">
      <c r="A73" s="718"/>
      <c r="B73" s="719"/>
      <c r="C73" s="720"/>
      <c r="D73" s="722"/>
      <c r="E73" s="720"/>
      <c r="F73" s="722"/>
      <c r="G73" s="723">
        <f t="shared" si="3"/>
        <v>0</v>
      </c>
      <c r="H73" s="724"/>
      <c r="I73" s="718"/>
      <c r="J73" s="719"/>
      <c r="K73" s="720"/>
      <c r="L73" s="722"/>
      <c r="M73" s="720"/>
      <c r="N73" s="722"/>
      <c r="O73" s="720"/>
      <c r="P73" s="722"/>
      <c r="Q73" s="720"/>
      <c r="R73" s="722"/>
      <c r="S73" s="723">
        <f t="shared" si="4"/>
        <v>0</v>
      </c>
      <c r="T73" s="724"/>
      <c r="U73" s="728" t="e">
        <f t="shared" si="5"/>
        <v>#VALUE!</v>
      </c>
      <c r="V73" s="729"/>
      <c r="W73" s="723" t="str">
        <f>IF(I73="","",W68+U73)</f>
        <v/>
      </c>
      <c r="X73" s="724"/>
      <c r="Y73" s="314"/>
      <c r="Z73" s="315"/>
    </row>
    <row r="74" spans="1:26" ht="12" customHeight="1">
      <c r="A74" s="718"/>
      <c r="B74" s="719"/>
      <c r="C74" s="720"/>
      <c r="D74" s="722"/>
      <c r="E74" s="720"/>
      <c r="F74" s="722"/>
      <c r="G74" s="723">
        <f t="shared" si="3"/>
        <v>0</v>
      </c>
      <c r="H74" s="724"/>
      <c r="I74" s="737"/>
      <c r="J74" s="719"/>
      <c r="K74" s="720"/>
      <c r="L74" s="722"/>
      <c r="M74" s="720"/>
      <c r="N74" s="721"/>
      <c r="O74" s="738"/>
      <c r="P74" s="738"/>
      <c r="Q74" s="738"/>
      <c r="R74" s="738"/>
      <c r="S74" s="723">
        <f t="shared" si="4"/>
        <v>0</v>
      </c>
      <c r="T74" s="724"/>
      <c r="U74" s="728" t="e">
        <f t="shared" si="5"/>
        <v>#VALUE!</v>
      </c>
      <c r="V74" s="729"/>
      <c r="W74" s="723" t="str">
        <f>IF(I74="","",W68+U74)</f>
        <v/>
      </c>
      <c r="X74" s="724"/>
      <c r="Y74" s="314"/>
      <c r="Z74" s="315"/>
    </row>
    <row r="75" spans="1:26" ht="12" customHeight="1">
      <c r="A75" s="718"/>
      <c r="B75" s="719"/>
      <c r="C75" s="720"/>
      <c r="D75" s="722"/>
      <c r="E75" s="720"/>
      <c r="F75" s="722"/>
      <c r="G75" s="723">
        <f t="shared" si="3"/>
        <v>0</v>
      </c>
      <c r="H75" s="724"/>
      <c r="I75" s="737"/>
      <c r="J75" s="719"/>
      <c r="K75" s="720"/>
      <c r="L75" s="722"/>
      <c r="M75" s="720"/>
      <c r="N75" s="721"/>
      <c r="O75" s="738"/>
      <c r="P75" s="738"/>
      <c r="Q75" s="738"/>
      <c r="R75" s="738"/>
      <c r="S75" s="723">
        <f t="shared" si="4"/>
        <v>0</v>
      </c>
      <c r="T75" s="724"/>
      <c r="U75" s="728" t="e">
        <f t="shared" si="5"/>
        <v>#VALUE!</v>
      </c>
      <c r="V75" s="729"/>
      <c r="W75" s="723" t="str">
        <f>IF(I75="","",W69+U75)</f>
        <v/>
      </c>
      <c r="X75" s="724"/>
      <c r="Y75" s="314"/>
      <c r="Z75" s="315"/>
    </row>
    <row r="76" spans="1:26" ht="12" customHeight="1">
      <c r="A76" s="718"/>
      <c r="B76" s="719"/>
      <c r="C76" s="720"/>
      <c r="D76" s="722"/>
      <c r="E76" s="720"/>
      <c r="F76" s="722"/>
      <c r="G76" s="723">
        <f t="shared" si="3"/>
        <v>0</v>
      </c>
      <c r="H76" s="724"/>
      <c r="I76" s="737"/>
      <c r="J76" s="719"/>
      <c r="K76" s="720"/>
      <c r="L76" s="722"/>
      <c r="M76" s="720"/>
      <c r="N76" s="721"/>
      <c r="O76" s="738"/>
      <c r="P76" s="738"/>
      <c r="Q76" s="738"/>
      <c r="R76" s="738"/>
      <c r="S76" s="723">
        <f t="shared" si="4"/>
        <v>0</v>
      </c>
      <c r="T76" s="724"/>
      <c r="U76" s="728" t="e">
        <f t="shared" si="5"/>
        <v>#VALUE!</v>
      </c>
      <c r="V76" s="729"/>
      <c r="W76" s="723" t="str">
        <f>IF(I76="","",W70+U76)</f>
        <v/>
      </c>
      <c r="X76" s="724"/>
      <c r="Y76" s="314"/>
      <c r="Z76" s="315"/>
    </row>
    <row r="77" spans="1:26" ht="12" customHeight="1">
      <c r="A77" s="718"/>
      <c r="B77" s="719"/>
      <c r="C77" s="720"/>
      <c r="D77" s="722"/>
      <c r="E77" s="720"/>
      <c r="F77" s="722"/>
      <c r="G77" s="723">
        <f t="shared" si="3"/>
        <v>0</v>
      </c>
      <c r="H77" s="724"/>
      <c r="I77" s="737"/>
      <c r="J77" s="719"/>
      <c r="K77" s="720"/>
      <c r="L77" s="722"/>
      <c r="M77" s="720"/>
      <c r="N77" s="721"/>
      <c r="O77" s="738"/>
      <c r="P77" s="738"/>
      <c r="Q77" s="738"/>
      <c r="R77" s="738"/>
      <c r="S77" s="723">
        <f t="shared" si="4"/>
        <v>0</v>
      </c>
      <c r="T77" s="724"/>
      <c r="U77" s="728" t="e">
        <f t="shared" si="5"/>
        <v>#VALUE!</v>
      </c>
      <c r="V77" s="729"/>
      <c r="W77" s="723" t="str">
        <f>IF(I77="","",W71+U77)</f>
        <v/>
      </c>
      <c r="X77" s="724"/>
      <c r="Y77" s="314"/>
      <c r="Z77" s="315"/>
    </row>
    <row r="78" spans="1:26" ht="12" customHeight="1" thickBot="1">
      <c r="A78" s="739"/>
      <c r="B78" s="740"/>
      <c r="C78" s="759"/>
      <c r="D78" s="760"/>
      <c r="E78" s="759"/>
      <c r="F78" s="760"/>
      <c r="G78" s="744">
        <f t="shared" si="3"/>
        <v>0</v>
      </c>
      <c r="H78" s="745"/>
      <c r="I78" s="746"/>
      <c r="J78" s="740"/>
      <c r="K78" s="759"/>
      <c r="L78" s="760"/>
      <c r="M78" s="759"/>
      <c r="N78" s="761"/>
      <c r="O78" s="747"/>
      <c r="P78" s="747"/>
      <c r="Q78" s="747"/>
      <c r="R78" s="747"/>
      <c r="S78" s="744">
        <f t="shared" si="4"/>
        <v>0</v>
      </c>
      <c r="T78" s="745"/>
      <c r="U78" s="748" t="e">
        <f t="shared" si="5"/>
        <v>#VALUE!</v>
      </c>
      <c r="V78" s="749"/>
      <c r="W78" s="744" t="str">
        <f>IF(I78="","",#REF!+U78)</f>
        <v/>
      </c>
      <c r="X78" s="745"/>
      <c r="Y78" s="316"/>
      <c r="Z78" s="317"/>
    </row>
    <row r="79" spans="1:26" ht="12" customHeight="1" thickBot="1">
      <c r="A79" s="757">
        <f>MAX(A67:A78)</f>
        <v>0</v>
      </c>
      <c r="B79" s="758"/>
      <c r="C79" s="753">
        <f>SUM(C67:C78)</f>
        <v>0</v>
      </c>
      <c r="D79" s="753"/>
      <c r="E79" s="753">
        <f>SUM(E67:E78)</f>
        <v>0</v>
      </c>
      <c r="F79" s="753"/>
      <c r="G79" s="753">
        <f>SUM(C79:E79)</f>
        <v>0</v>
      </c>
      <c r="H79" s="753"/>
      <c r="I79" s="753">
        <f>MAX(W67:W78)</f>
        <v>0</v>
      </c>
      <c r="J79" s="753"/>
      <c r="K79" s="753">
        <f>SUM(K67:K78)</f>
        <v>0</v>
      </c>
      <c r="L79" s="753"/>
      <c r="M79" s="753">
        <f>SUM(M67:M78)</f>
        <v>0</v>
      </c>
      <c r="N79" s="753"/>
      <c r="O79" s="753">
        <f>SUM(O67:O78)</f>
        <v>0</v>
      </c>
      <c r="P79" s="753"/>
      <c r="Q79" s="753">
        <f>SUM(Q67:Q78)</f>
        <v>0</v>
      </c>
      <c r="R79" s="753"/>
      <c r="S79" s="753">
        <f>SUM(S67:S78)</f>
        <v>0</v>
      </c>
      <c r="T79" s="753"/>
      <c r="U79" s="753" t="e">
        <f>SUM(U67:U78)</f>
        <v>#VALUE!</v>
      </c>
      <c r="V79" s="753"/>
      <c r="W79" s="753">
        <f>MAX(W67:W78)</f>
        <v>0</v>
      </c>
      <c r="X79" s="753"/>
      <c r="Y79" s="318"/>
      <c r="Z79" s="319">
        <f>MAX(Z67:Z78)</f>
        <v>0</v>
      </c>
    </row>
  </sheetData>
  <sheetProtection formatRows="0"/>
  <protectedRanges>
    <protectedRange sqref="A52:F63 I52:R63 Y52:Z63 A67:D78 I67:R78 Y67:Z78" name="Range4"/>
    <protectedRange sqref="I16:X20 Y15:Z20 I21:Y23 Z21 G25:Z25 Y26:Z28 W28 F29:Z29 Y30:Z30 I31:X33 I35:X41 Y34:Z34 E42:Z44 T45:T47 Y45:Z47 F48:Z48 F49 Y49:Z49 Y24:Z24" name="Range3"/>
    <protectedRange algorithmName="SHA-512" hashValue="YdyFtye8jOpV9zjH4P50ebBMluRRQbte8Up96ucXmrKUrJzZ96KC4u27ZZz/tg2CJnM3ifeWrqvdujgfwTPkwA==" saltValue="KWrgvYckURC88qXpNZs6Ig==" spinCount="100000" sqref="D8 I8 F9 J9 W9 D10 R8:R10 Y8:Z14 G24:X24 G11:X14" name="Range2"/>
    <protectedRange algorithmName="SHA-512" hashValue="ep+ZMCgpipBSl+/lgXiHUFm/0Vtki4SeY3RT9/QV785EIfeHG1fcs8cZ5yoiHEK2NamFmyUlQti/A6RgdoK6uQ==" saltValue="vFBiSZDeq6GX82uiywbNTw==" spinCount="100000" sqref="D1:S5 X1:Z5" name="Range1"/>
  </protectedRanges>
  <mergeCells count="630">
    <mergeCell ref="S77:T77"/>
    <mergeCell ref="U77:V77"/>
    <mergeCell ref="W77:X77"/>
    <mergeCell ref="A78:B78"/>
    <mergeCell ref="C78:D78"/>
    <mergeCell ref="E78:F78"/>
    <mergeCell ref="G78:H78"/>
    <mergeCell ref="I78:J78"/>
    <mergeCell ref="A77:B77"/>
    <mergeCell ref="C77:D77"/>
    <mergeCell ref="E77:F77"/>
    <mergeCell ref="G77:H77"/>
    <mergeCell ref="I77:J77"/>
    <mergeCell ref="K77:L77"/>
    <mergeCell ref="M77:N77"/>
    <mergeCell ref="O77:P77"/>
    <mergeCell ref="Q77:R77"/>
    <mergeCell ref="S79:T79"/>
    <mergeCell ref="U79:V79"/>
    <mergeCell ref="W79:X79"/>
    <mergeCell ref="W78:X78"/>
    <mergeCell ref="A79:B79"/>
    <mergeCell ref="C79:D79"/>
    <mergeCell ref="E79:F79"/>
    <mergeCell ref="G79:H79"/>
    <mergeCell ref="I79:J79"/>
    <mergeCell ref="K79:L79"/>
    <mergeCell ref="M79:N79"/>
    <mergeCell ref="O79:P79"/>
    <mergeCell ref="Q79:R79"/>
    <mergeCell ref="K78:L78"/>
    <mergeCell ref="M78:N78"/>
    <mergeCell ref="O78:P78"/>
    <mergeCell ref="Q78:R78"/>
    <mergeCell ref="S78:T78"/>
    <mergeCell ref="U78:V78"/>
    <mergeCell ref="A75:B75"/>
    <mergeCell ref="C75:D75"/>
    <mergeCell ref="E75:F75"/>
    <mergeCell ref="G75:H75"/>
    <mergeCell ref="I75:J75"/>
    <mergeCell ref="W75:X75"/>
    <mergeCell ref="A76:B76"/>
    <mergeCell ref="C76:D76"/>
    <mergeCell ref="E76:F76"/>
    <mergeCell ref="G76:H76"/>
    <mergeCell ref="I76:J76"/>
    <mergeCell ref="K76:L76"/>
    <mergeCell ref="M76:N76"/>
    <mergeCell ref="O76:P76"/>
    <mergeCell ref="Q76:R76"/>
    <mergeCell ref="K75:L75"/>
    <mergeCell ref="M75:N75"/>
    <mergeCell ref="O75:P75"/>
    <mergeCell ref="Q75:R75"/>
    <mergeCell ref="S75:T75"/>
    <mergeCell ref="U75:V75"/>
    <mergeCell ref="S76:T76"/>
    <mergeCell ref="U76:V76"/>
    <mergeCell ref="W76:X76"/>
    <mergeCell ref="S73:T73"/>
    <mergeCell ref="U73:V73"/>
    <mergeCell ref="W73:X73"/>
    <mergeCell ref="A74:B74"/>
    <mergeCell ref="C74:D74"/>
    <mergeCell ref="E74:F74"/>
    <mergeCell ref="G74:H74"/>
    <mergeCell ref="I74:J74"/>
    <mergeCell ref="K74:L74"/>
    <mergeCell ref="M74:N74"/>
    <mergeCell ref="O74:P74"/>
    <mergeCell ref="Q74:R74"/>
    <mergeCell ref="S74:T74"/>
    <mergeCell ref="U74:V74"/>
    <mergeCell ref="W74:X74"/>
    <mergeCell ref="A73:B73"/>
    <mergeCell ref="C73:D73"/>
    <mergeCell ref="E73:F73"/>
    <mergeCell ref="G73:H73"/>
    <mergeCell ref="I73:J73"/>
    <mergeCell ref="K73:L73"/>
    <mergeCell ref="M73:N73"/>
    <mergeCell ref="O73:P73"/>
    <mergeCell ref="Q73:R73"/>
    <mergeCell ref="S71:T71"/>
    <mergeCell ref="U71:V71"/>
    <mergeCell ref="W71:X71"/>
    <mergeCell ref="A72:B72"/>
    <mergeCell ref="C72:D72"/>
    <mergeCell ref="E72:F72"/>
    <mergeCell ref="G72:H72"/>
    <mergeCell ref="I72:J72"/>
    <mergeCell ref="W72:X72"/>
    <mergeCell ref="K72:L72"/>
    <mergeCell ref="M72:N72"/>
    <mergeCell ref="O72:P72"/>
    <mergeCell ref="Q72:R72"/>
    <mergeCell ref="S72:T72"/>
    <mergeCell ref="U72:V72"/>
    <mergeCell ref="A71:B71"/>
    <mergeCell ref="C71:D71"/>
    <mergeCell ref="E71:F71"/>
    <mergeCell ref="G71:H71"/>
    <mergeCell ref="I71:J71"/>
    <mergeCell ref="K71:L71"/>
    <mergeCell ref="M71:N71"/>
    <mergeCell ref="O71:P71"/>
    <mergeCell ref="Q71:R71"/>
    <mergeCell ref="A69:B69"/>
    <mergeCell ref="C69:D69"/>
    <mergeCell ref="E69:F69"/>
    <mergeCell ref="G69:H69"/>
    <mergeCell ref="I69:J69"/>
    <mergeCell ref="W69:X69"/>
    <mergeCell ref="A70:B70"/>
    <mergeCell ref="C70:D70"/>
    <mergeCell ref="E70:F70"/>
    <mergeCell ref="G70:H70"/>
    <mergeCell ref="I70:J70"/>
    <mergeCell ref="K70:L70"/>
    <mergeCell ref="M70:N70"/>
    <mergeCell ref="O70:P70"/>
    <mergeCell ref="Q70:R70"/>
    <mergeCell ref="K69:L69"/>
    <mergeCell ref="M69:N69"/>
    <mergeCell ref="O69:P69"/>
    <mergeCell ref="Q69:R69"/>
    <mergeCell ref="S69:T69"/>
    <mergeCell ref="U69:V69"/>
    <mergeCell ref="S70:T70"/>
    <mergeCell ref="U70:V70"/>
    <mergeCell ref="W70:X70"/>
    <mergeCell ref="S68:T68"/>
    <mergeCell ref="U68:V68"/>
    <mergeCell ref="W68:X68"/>
    <mergeCell ref="A67:B67"/>
    <mergeCell ref="C67:D67"/>
    <mergeCell ref="E67:F67"/>
    <mergeCell ref="G67:H67"/>
    <mergeCell ref="I67:J67"/>
    <mergeCell ref="K67:L67"/>
    <mergeCell ref="M67:N67"/>
    <mergeCell ref="O67:P67"/>
    <mergeCell ref="Q67:R67"/>
    <mergeCell ref="A68:B68"/>
    <mergeCell ref="C68:D68"/>
    <mergeCell ref="E68:F68"/>
    <mergeCell ref="G68:H68"/>
    <mergeCell ref="I68:J68"/>
    <mergeCell ref="K68:L68"/>
    <mergeCell ref="M68:N68"/>
    <mergeCell ref="O68:P68"/>
    <mergeCell ref="Q68:R68"/>
    <mergeCell ref="C64:F64"/>
    <mergeCell ref="G64:H64"/>
    <mergeCell ref="I64:J64"/>
    <mergeCell ref="K64:N64"/>
    <mergeCell ref="O64:P64"/>
    <mergeCell ref="Q64:R64"/>
    <mergeCell ref="S67:T67"/>
    <mergeCell ref="U67:V67"/>
    <mergeCell ref="W67:X67"/>
    <mergeCell ref="A65:H65"/>
    <mergeCell ref="I65:T65"/>
    <mergeCell ref="U65:X65"/>
    <mergeCell ref="S64:T64"/>
    <mergeCell ref="U64:V64"/>
    <mergeCell ref="W64:X64"/>
    <mergeCell ref="A64:B64"/>
    <mergeCell ref="Y65:Z65"/>
    <mergeCell ref="A66:B66"/>
    <mergeCell ref="C66:D66"/>
    <mergeCell ref="E66:F66"/>
    <mergeCell ref="G66:H66"/>
    <mergeCell ref="I66:J66"/>
    <mergeCell ref="W66:X66"/>
    <mergeCell ref="K66:L66"/>
    <mergeCell ref="M66:N66"/>
    <mergeCell ref="O66:P66"/>
    <mergeCell ref="Q66:R66"/>
    <mergeCell ref="S66:T66"/>
    <mergeCell ref="U66:V66"/>
    <mergeCell ref="W62:X62"/>
    <mergeCell ref="A63:B63"/>
    <mergeCell ref="C63:F63"/>
    <mergeCell ref="G63:H63"/>
    <mergeCell ref="I63:J63"/>
    <mergeCell ref="K63:N63"/>
    <mergeCell ref="O63:P63"/>
    <mergeCell ref="Q63:R63"/>
    <mergeCell ref="S63:T63"/>
    <mergeCell ref="U63:V63"/>
    <mergeCell ref="W63:X63"/>
    <mergeCell ref="A62:B62"/>
    <mergeCell ref="C62:F62"/>
    <mergeCell ref="G62:H62"/>
    <mergeCell ref="I62:J62"/>
    <mergeCell ref="K62:N62"/>
    <mergeCell ref="O62:P62"/>
    <mergeCell ref="Q62:R62"/>
    <mergeCell ref="S62:T62"/>
    <mergeCell ref="U62:V62"/>
    <mergeCell ref="W60:X60"/>
    <mergeCell ref="A61:B61"/>
    <mergeCell ref="C61:F61"/>
    <mergeCell ref="G61:H61"/>
    <mergeCell ref="I61:J61"/>
    <mergeCell ref="K61:N61"/>
    <mergeCell ref="O61:P61"/>
    <mergeCell ref="Q61:R61"/>
    <mergeCell ref="S61:T61"/>
    <mergeCell ref="U61:V61"/>
    <mergeCell ref="W61:X61"/>
    <mergeCell ref="A60:B60"/>
    <mergeCell ref="C60:F60"/>
    <mergeCell ref="G60:H60"/>
    <mergeCell ref="I60:J60"/>
    <mergeCell ref="K60:N60"/>
    <mergeCell ref="O60:P60"/>
    <mergeCell ref="Q60:R60"/>
    <mergeCell ref="S60:T60"/>
    <mergeCell ref="U60:V60"/>
    <mergeCell ref="W58:X58"/>
    <mergeCell ref="A59:B59"/>
    <mergeCell ref="C59:F59"/>
    <mergeCell ref="G59:H59"/>
    <mergeCell ref="I59:J59"/>
    <mergeCell ref="K59:N59"/>
    <mergeCell ref="O59:P59"/>
    <mergeCell ref="Q59:R59"/>
    <mergeCell ref="S59:T59"/>
    <mergeCell ref="U59:V59"/>
    <mergeCell ref="W59:X59"/>
    <mergeCell ref="A58:B58"/>
    <mergeCell ref="C58:F58"/>
    <mergeCell ref="G58:H58"/>
    <mergeCell ref="I58:J58"/>
    <mergeCell ref="K58:N58"/>
    <mergeCell ref="O58:P58"/>
    <mergeCell ref="Q58:R58"/>
    <mergeCell ref="S58:T58"/>
    <mergeCell ref="U58:V58"/>
    <mergeCell ref="W56:X56"/>
    <mergeCell ref="A57:B57"/>
    <mergeCell ref="C57:F57"/>
    <mergeCell ref="G57:H57"/>
    <mergeCell ref="I57:J57"/>
    <mergeCell ref="K57:N57"/>
    <mergeCell ref="O57:P57"/>
    <mergeCell ref="Q57:R57"/>
    <mergeCell ref="S57:T57"/>
    <mergeCell ref="U57:V57"/>
    <mergeCell ref="W57:X57"/>
    <mergeCell ref="A56:B56"/>
    <mergeCell ref="C56:F56"/>
    <mergeCell ref="G56:H56"/>
    <mergeCell ref="I56:J56"/>
    <mergeCell ref="K56:N56"/>
    <mergeCell ref="O56:P56"/>
    <mergeCell ref="Q56:R56"/>
    <mergeCell ref="S56:T56"/>
    <mergeCell ref="U56:V56"/>
    <mergeCell ref="W54:X54"/>
    <mergeCell ref="A55:B55"/>
    <mergeCell ref="C55:F55"/>
    <mergeCell ref="G55:H55"/>
    <mergeCell ref="I55:J55"/>
    <mergeCell ref="K55:N55"/>
    <mergeCell ref="O55:P55"/>
    <mergeCell ref="Q55:R55"/>
    <mergeCell ref="S55:T55"/>
    <mergeCell ref="U55:V55"/>
    <mergeCell ref="W55:X55"/>
    <mergeCell ref="A54:B54"/>
    <mergeCell ref="C54:F54"/>
    <mergeCell ref="G54:H54"/>
    <mergeCell ref="I54:J54"/>
    <mergeCell ref="K54:N54"/>
    <mergeCell ref="O54:P54"/>
    <mergeCell ref="Q54:R54"/>
    <mergeCell ref="S54:T54"/>
    <mergeCell ref="U54:V54"/>
    <mergeCell ref="W52:X52"/>
    <mergeCell ref="A53:B53"/>
    <mergeCell ref="C53:F53"/>
    <mergeCell ref="G53:H53"/>
    <mergeCell ref="I53:J53"/>
    <mergeCell ref="K53:N53"/>
    <mergeCell ref="O53:P53"/>
    <mergeCell ref="Q53:R53"/>
    <mergeCell ref="S53:T53"/>
    <mergeCell ref="U53:V53"/>
    <mergeCell ref="W53:X53"/>
    <mergeCell ref="A52:B52"/>
    <mergeCell ref="C52:F52"/>
    <mergeCell ref="G52:H52"/>
    <mergeCell ref="I52:J52"/>
    <mergeCell ref="K52:N52"/>
    <mergeCell ref="O52:P52"/>
    <mergeCell ref="Q52:R52"/>
    <mergeCell ref="S52:T52"/>
    <mergeCell ref="U52:V52"/>
    <mergeCell ref="Y50:Z50"/>
    <mergeCell ref="A51:B51"/>
    <mergeCell ref="C51:F51"/>
    <mergeCell ref="G51:H51"/>
    <mergeCell ref="I51:J51"/>
    <mergeCell ref="K51:N51"/>
    <mergeCell ref="O51:P51"/>
    <mergeCell ref="Q51:R51"/>
    <mergeCell ref="S51:T51"/>
    <mergeCell ref="U51:V51"/>
    <mergeCell ref="W51:X51"/>
    <mergeCell ref="A49:E49"/>
    <mergeCell ref="F49:X49"/>
    <mergeCell ref="A50:H50"/>
    <mergeCell ref="I50:T50"/>
    <mergeCell ref="U50:X50"/>
    <mergeCell ref="Q44:R44"/>
    <mergeCell ref="S44:T44"/>
    <mergeCell ref="U44:V44"/>
    <mergeCell ref="W44:X44"/>
    <mergeCell ref="A45:D48"/>
    <mergeCell ref="E45:S45"/>
    <mergeCell ref="T45:X45"/>
    <mergeCell ref="E46:S46"/>
    <mergeCell ref="T46:X46"/>
    <mergeCell ref="E47:S47"/>
    <mergeCell ref="A42:B44"/>
    <mergeCell ref="C44:D44"/>
    <mergeCell ref="E44:F44"/>
    <mergeCell ref="G44:H44"/>
    <mergeCell ref="I44:J44"/>
    <mergeCell ref="K44:L44"/>
    <mergeCell ref="M44:N44"/>
    <mergeCell ref="O44:P44"/>
    <mergeCell ref="T47:X47"/>
    <mergeCell ref="F48:X48"/>
    <mergeCell ref="Y42:Y44"/>
    <mergeCell ref="Z42:Z44"/>
    <mergeCell ref="C43:D43"/>
    <mergeCell ref="E43:F43"/>
    <mergeCell ref="G43:H43"/>
    <mergeCell ref="I43:J43"/>
    <mergeCell ref="K43:L43"/>
    <mergeCell ref="M43:N43"/>
    <mergeCell ref="O43:P43"/>
    <mergeCell ref="Q43:R43"/>
    <mergeCell ref="M42:N42"/>
    <mergeCell ref="O42:P42"/>
    <mergeCell ref="Q42:R42"/>
    <mergeCell ref="S42:T42"/>
    <mergeCell ref="U42:V42"/>
    <mergeCell ref="W42:X42"/>
    <mergeCell ref="C42:D42"/>
    <mergeCell ref="E42:F42"/>
    <mergeCell ref="G42:H42"/>
    <mergeCell ref="I42:J42"/>
    <mergeCell ref="K42:L42"/>
    <mergeCell ref="S43:T43"/>
    <mergeCell ref="U43:V43"/>
    <mergeCell ref="W43:X43"/>
    <mergeCell ref="U37:X37"/>
    <mergeCell ref="A38:D38"/>
    <mergeCell ref="E38:H38"/>
    <mergeCell ref="I38:L38"/>
    <mergeCell ref="M38:P38"/>
    <mergeCell ref="Q38:T38"/>
    <mergeCell ref="U40:X40"/>
    <mergeCell ref="A41:D41"/>
    <mergeCell ref="E41:H41"/>
    <mergeCell ref="I41:L41"/>
    <mergeCell ref="M41:P41"/>
    <mergeCell ref="Q41:T41"/>
    <mergeCell ref="U41:X41"/>
    <mergeCell ref="U38:X38"/>
    <mergeCell ref="I39:L39"/>
    <mergeCell ref="M39:P39"/>
    <mergeCell ref="Q39:T39"/>
    <mergeCell ref="U39:X39"/>
    <mergeCell ref="A40:D40"/>
    <mergeCell ref="E40:H40"/>
    <mergeCell ref="I40:L40"/>
    <mergeCell ref="M40:P40"/>
    <mergeCell ref="Q40:T40"/>
    <mergeCell ref="Z34:Z41"/>
    <mergeCell ref="A35:D35"/>
    <mergeCell ref="E35:H35"/>
    <mergeCell ref="I35:L35"/>
    <mergeCell ref="M35:P35"/>
    <mergeCell ref="Q35:T35"/>
    <mergeCell ref="U35:X35"/>
    <mergeCell ref="A36:D36"/>
    <mergeCell ref="E36:H36"/>
    <mergeCell ref="I36:L36"/>
    <mergeCell ref="A34:H34"/>
    <mergeCell ref="I34:L34"/>
    <mergeCell ref="M34:P34"/>
    <mergeCell ref="Q34:T34"/>
    <mergeCell ref="U34:X34"/>
    <mergeCell ref="Y34:Y41"/>
    <mergeCell ref="M36:P36"/>
    <mergeCell ref="Q36:T36"/>
    <mergeCell ref="U36:X36"/>
    <mergeCell ref="A37:D37"/>
    <mergeCell ref="E37:H37"/>
    <mergeCell ref="I37:L37"/>
    <mergeCell ref="M37:P37"/>
    <mergeCell ref="Q37:T37"/>
    <mergeCell ref="O32:P32"/>
    <mergeCell ref="Q32:R32"/>
    <mergeCell ref="S32:T32"/>
    <mergeCell ref="U32:V32"/>
    <mergeCell ref="W32:X32"/>
    <mergeCell ref="F33:H33"/>
    <mergeCell ref="I33:J33"/>
    <mergeCell ref="K33:L33"/>
    <mergeCell ref="M33:N33"/>
    <mergeCell ref="O33:P33"/>
    <mergeCell ref="U33:V33"/>
    <mergeCell ref="W33:X33"/>
    <mergeCell ref="A32:C33"/>
    <mergeCell ref="D32:E33"/>
    <mergeCell ref="F32:H32"/>
    <mergeCell ref="I32:J32"/>
    <mergeCell ref="K32:L32"/>
    <mergeCell ref="M32:N32"/>
    <mergeCell ref="AA30:AA33"/>
    <mergeCell ref="F31:H31"/>
    <mergeCell ref="I31:J31"/>
    <mergeCell ref="K31:L31"/>
    <mergeCell ref="M31:N31"/>
    <mergeCell ref="O31:P31"/>
    <mergeCell ref="Q31:R31"/>
    <mergeCell ref="S31:T31"/>
    <mergeCell ref="U31:V31"/>
    <mergeCell ref="W31:X31"/>
    <mergeCell ref="Q30:R30"/>
    <mergeCell ref="S30:T30"/>
    <mergeCell ref="U30:V30"/>
    <mergeCell ref="W30:X30"/>
    <mergeCell ref="Y30:Y33"/>
    <mergeCell ref="Z30:Z33"/>
    <mergeCell ref="Q33:R33"/>
    <mergeCell ref="S33:T33"/>
    <mergeCell ref="A30:E31"/>
    <mergeCell ref="F30:H30"/>
    <mergeCell ref="I30:J30"/>
    <mergeCell ref="K30:L30"/>
    <mergeCell ref="M30:N30"/>
    <mergeCell ref="O30:P30"/>
    <mergeCell ref="A26:C29"/>
    <mergeCell ref="D26:X26"/>
    <mergeCell ref="D27:X27"/>
    <mergeCell ref="D28:V28"/>
    <mergeCell ref="W28:X28"/>
    <mergeCell ref="D29:E29"/>
    <mergeCell ref="F29:X29"/>
    <mergeCell ref="Z24:Z25"/>
    <mergeCell ref="C25:F25"/>
    <mergeCell ref="G25:H25"/>
    <mergeCell ref="I25:J25"/>
    <mergeCell ref="K25:L25"/>
    <mergeCell ref="M25:N25"/>
    <mergeCell ref="O25:P25"/>
    <mergeCell ref="Q25:R25"/>
    <mergeCell ref="S25:T25"/>
    <mergeCell ref="U25:V25"/>
    <mergeCell ref="O24:P24"/>
    <mergeCell ref="Q24:R24"/>
    <mergeCell ref="S24:T24"/>
    <mergeCell ref="U24:V24"/>
    <mergeCell ref="W24:X24"/>
    <mergeCell ref="Y24:Y25"/>
    <mergeCell ref="W25:X25"/>
    <mergeCell ref="S21:T21"/>
    <mergeCell ref="U21:V21"/>
    <mergeCell ref="W21:X21"/>
    <mergeCell ref="A24:B25"/>
    <mergeCell ref="C24:F24"/>
    <mergeCell ref="G24:H24"/>
    <mergeCell ref="I24:J24"/>
    <mergeCell ref="K24:L24"/>
    <mergeCell ref="M24:N24"/>
    <mergeCell ref="O22:P22"/>
    <mergeCell ref="Q22:R22"/>
    <mergeCell ref="S22:T22"/>
    <mergeCell ref="Y21:Y23"/>
    <mergeCell ref="Z21:Z23"/>
    <mergeCell ref="Q23:R23"/>
    <mergeCell ref="S23:T23"/>
    <mergeCell ref="U23:V23"/>
    <mergeCell ref="W23:X23"/>
    <mergeCell ref="A21:F23"/>
    <mergeCell ref="G21:H21"/>
    <mergeCell ref="I21:J21"/>
    <mergeCell ref="K21:L21"/>
    <mergeCell ref="M21:N21"/>
    <mergeCell ref="O21:P21"/>
    <mergeCell ref="G22:H22"/>
    <mergeCell ref="I22:J22"/>
    <mergeCell ref="K22:L22"/>
    <mergeCell ref="M22:N22"/>
    <mergeCell ref="U22:V22"/>
    <mergeCell ref="W22:X22"/>
    <mergeCell ref="G23:H23"/>
    <mergeCell ref="I23:J23"/>
    <mergeCell ref="K23:L23"/>
    <mergeCell ref="M23:N23"/>
    <mergeCell ref="O23:P23"/>
    <mergeCell ref="Q21:R21"/>
    <mergeCell ref="AD17:AI17"/>
    <mergeCell ref="A18:H18"/>
    <mergeCell ref="I18:L18"/>
    <mergeCell ref="M18:P18"/>
    <mergeCell ref="Q18:T18"/>
    <mergeCell ref="U18:X18"/>
    <mergeCell ref="Z15:Z20"/>
    <mergeCell ref="A16:H16"/>
    <mergeCell ref="I16:L16"/>
    <mergeCell ref="M16:P16"/>
    <mergeCell ref="Q16:T16"/>
    <mergeCell ref="U16:X16"/>
    <mergeCell ref="A17:H17"/>
    <mergeCell ref="I17:L17"/>
    <mergeCell ref="M17:P17"/>
    <mergeCell ref="Q17:T17"/>
    <mergeCell ref="A15:H15"/>
    <mergeCell ref="I15:L15"/>
    <mergeCell ref="M15:P15"/>
    <mergeCell ref="Q15:T15"/>
    <mergeCell ref="U15:X15"/>
    <mergeCell ref="Y15:Y20"/>
    <mergeCell ref="U17:X17"/>
    <mergeCell ref="A19:H19"/>
    <mergeCell ref="I19:L19"/>
    <mergeCell ref="M19:P19"/>
    <mergeCell ref="Q19:T19"/>
    <mergeCell ref="U19:X19"/>
    <mergeCell ref="A20:H20"/>
    <mergeCell ref="I20:L20"/>
    <mergeCell ref="M20:P20"/>
    <mergeCell ref="Q20:T20"/>
    <mergeCell ref="U20:X20"/>
    <mergeCell ref="Z13:Z14"/>
    <mergeCell ref="C14:F14"/>
    <mergeCell ref="G14:H14"/>
    <mergeCell ref="I14:J14"/>
    <mergeCell ref="K14:L14"/>
    <mergeCell ref="M14:N14"/>
    <mergeCell ref="O14:P14"/>
    <mergeCell ref="Q14:R14"/>
    <mergeCell ref="S14:T14"/>
    <mergeCell ref="U14:V14"/>
    <mergeCell ref="O13:P13"/>
    <mergeCell ref="Q13:R13"/>
    <mergeCell ref="S13:T13"/>
    <mergeCell ref="U13:V13"/>
    <mergeCell ref="W13:X13"/>
    <mergeCell ref="Y13:Y14"/>
    <mergeCell ref="W14:X14"/>
    <mergeCell ref="A13:B14"/>
    <mergeCell ref="C13:F13"/>
    <mergeCell ref="G13:H13"/>
    <mergeCell ref="I13:J13"/>
    <mergeCell ref="K13:L13"/>
    <mergeCell ref="M13:N13"/>
    <mergeCell ref="Z11:Z12"/>
    <mergeCell ref="C12:F12"/>
    <mergeCell ref="G12:H12"/>
    <mergeCell ref="I12:J12"/>
    <mergeCell ref="K12:L12"/>
    <mergeCell ref="M12:N12"/>
    <mergeCell ref="O12:P12"/>
    <mergeCell ref="Q12:R12"/>
    <mergeCell ref="S12:T12"/>
    <mergeCell ref="U12:V12"/>
    <mergeCell ref="O11:P11"/>
    <mergeCell ref="Q11:R11"/>
    <mergeCell ref="S11:T11"/>
    <mergeCell ref="U11:V11"/>
    <mergeCell ref="W11:X11"/>
    <mergeCell ref="Y11:Y12"/>
    <mergeCell ref="W12:X12"/>
    <mergeCell ref="A11:B12"/>
    <mergeCell ref="C11:F11"/>
    <mergeCell ref="G11:H11"/>
    <mergeCell ref="I11:J11"/>
    <mergeCell ref="K11:L11"/>
    <mergeCell ref="M11:N11"/>
    <mergeCell ref="T9:V9"/>
    <mergeCell ref="W9:X9"/>
    <mergeCell ref="A10:C10"/>
    <mergeCell ref="D10:L10"/>
    <mergeCell ref="M10:Q10"/>
    <mergeCell ref="R10:X10"/>
    <mergeCell ref="A9:C9"/>
    <mergeCell ref="D9:E9"/>
    <mergeCell ref="F9:H9"/>
    <mergeCell ref="J9:K9"/>
    <mergeCell ref="L9:Q9"/>
    <mergeCell ref="R9:S9"/>
    <mergeCell ref="A8:D8"/>
    <mergeCell ref="G8:H8"/>
    <mergeCell ref="I8:L8"/>
    <mergeCell ref="M8:Q8"/>
    <mergeCell ref="R8:X8"/>
    <mergeCell ref="A5:C5"/>
    <mergeCell ref="D5:S5"/>
    <mergeCell ref="T5:W5"/>
    <mergeCell ref="X5:Z5"/>
    <mergeCell ref="A6:Z6"/>
    <mergeCell ref="A7:X7"/>
    <mergeCell ref="AA1:AA7"/>
    <mergeCell ref="A2:C2"/>
    <mergeCell ref="D2:S2"/>
    <mergeCell ref="T2:W2"/>
    <mergeCell ref="X2:Z2"/>
    <mergeCell ref="A3:C3"/>
    <mergeCell ref="D3:S3"/>
    <mergeCell ref="T3:W3"/>
    <mergeCell ref="X3:Z3"/>
    <mergeCell ref="A4:C4"/>
    <mergeCell ref="D4:S4"/>
    <mergeCell ref="T4:W4"/>
    <mergeCell ref="X4:Z4"/>
    <mergeCell ref="A1:C1"/>
    <mergeCell ref="D1:S1"/>
    <mergeCell ref="T1:W1"/>
    <mergeCell ref="X1:Z1"/>
  </mergeCells>
  <conditionalFormatting sqref="A26">
    <cfRule type="cellIs" dxfId="69" priority="70" operator="equal">
      <formula>"HIDE ROW"</formula>
    </cfRule>
  </conditionalFormatting>
  <conditionalFormatting sqref="A24:F25">
    <cfRule type="expression" dxfId="68" priority="40">
      <formula>$D$4="R&amp;D"</formula>
    </cfRule>
    <cfRule type="expression" dxfId="67" priority="41">
      <formula>$D$4="Training"</formula>
    </cfRule>
  </conditionalFormatting>
  <conditionalFormatting sqref="A35:H38 A40:H41">
    <cfRule type="expression" dxfId="66" priority="23">
      <formula>$D$4="Employment"</formula>
    </cfRule>
  </conditionalFormatting>
  <conditionalFormatting sqref="A15:X15 A16:H20">
    <cfRule type="expression" dxfId="65" priority="46">
      <formula>$D$4="Capital"</formula>
    </cfRule>
    <cfRule type="expression" dxfId="64" priority="47">
      <formula>$D$4="Employment"</formula>
    </cfRule>
  </conditionalFormatting>
  <conditionalFormatting sqref="A34:X34">
    <cfRule type="expression" dxfId="63" priority="54">
      <formula>$D$4="Employment"</formula>
    </cfRule>
  </conditionalFormatting>
  <conditionalFormatting sqref="A21:Z23">
    <cfRule type="expression" dxfId="62" priority="44">
      <formula>$D$4="Training"</formula>
    </cfRule>
    <cfRule type="expression" dxfId="61" priority="45">
      <formula>$D$4="Feasability"</formula>
    </cfRule>
  </conditionalFormatting>
  <conditionalFormatting sqref="A50:Z50 A51:C64 O51:Z64">
    <cfRule type="expression" dxfId="60" priority="17">
      <formula>$D$4="Training"</formula>
    </cfRule>
    <cfRule type="expression" dxfId="59" priority="18">
      <formula>$D$4="Business Asset Grant (BAG)"</formula>
    </cfRule>
    <cfRule type="expression" dxfId="58" priority="19">
      <formula>$D$4="Capital"</formula>
    </cfRule>
    <cfRule type="expression" dxfId="57" priority="20">
      <formula>$D$4="Employment"</formula>
    </cfRule>
  </conditionalFormatting>
  <conditionalFormatting sqref="A65:Z79">
    <cfRule type="expression" dxfId="56" priority="16">
      <formula>$D$4="Feasability"</formula>
    </cfRule>
  </conditionalFormatting>
  <conditionalFormatting sqref="C52 E67:F78 K52">
    <cfRule type="expression" dxfId="55" priority="66">
      <formula>$D$4="Training"</formula>
    </cfRule>
    <cfRule type="expression" dxfId="54" priority="67">
      <formula>$D$4="Employment"</formula>
    </cfRule>
  </conditionalFormatting>
  <conditionalFormatting sqref="C53:C64">
    <cfRule type="expression" dxfId="53" priority="21">
      <formula>$D$4="Employment"</formula>
    </cfRule>
  </conditionalFormatting>
  <conditionalFormatting sqref="C67:D79 K67:L79">
    <cfRule type="expression" dxfId="52" priority="57">
      <formula>$D$4="Employment"</formula>
    </cfRule>
  </conditionalFormatting>
  <conditionalFormatting sqref="D27:D28">
    <cfRule type="expression" dxfId="51" priority="52">
      <formula>$D$4="Business Asset Grant (BAG)"</formula>
    </cfRule>
  </conditionalFormatting>
  <conditionalFormatting sqref="D26:X26">
    <cfRule type="expression" dxfId="50" priority="50">
      <formula>$D$4="Business Asset Grant (BAG)"</formula>
    </cfRule>
  </conditionalFormatting>
  <conditionalFormatting sqref="D26:Z26">
    <cfRule type="cellIs" dxfId="49" priority="68" operator="equal">
      <formula>"HIDE ROW"</formula>
    </cfRule>
  </conditionalFormatting>
  <conditionalFormatting sqref="E66:F79 M66:N79">
    <cfRule type="expression" dxfId="48" priority="33">
      <formula>$D$4="Training"</formula>
    </cfRule>
    <cfRule type="expression" dxfId="47" priority="34">
      <formula>$D$4="Employment"</formula>
    </cfRule>
  </conditionalFormatting>
  <conditionalFormatting sqref="E47:S47">
    <cfRule type="expression" dxfId="46" priority="38">
      <formula>$D$4="Training"</formula>
    </cfRule>
  </conditionalFormatting>
  <conditionalFormatting sqref="E46:Z46">
    <cfRule type="expression" dxfId="45" priority="37">
      <formula>$D$4="Capital"</formula>
    </cfRule>
  </conditionalFormatting>
  <conditionalFormatting sqref="F29">
    <cfRule type="cellIs" dxfId="44" priority="71" operator="equal">
      <formula>"HIDE ROW"</formula>
    </cfRule>
  </conditionalFormatting>
  <conditionalFormatting sqref="F30:X30 A30:E31 F31:H33 A32:C33">
    <cfRule type="expression" dxfId="43" priority="59">
      <formula>$D$4="Capital"</formula>
    </cfRule>
  </conditionalFormatting>
  <conditionalFormatting sqref="G51:K64">
    <cfRule type="expression" dxfId="42" priority="7">
      <formula>$D$4="Training"</formula>
    </cfRule>
    <cfRule type="expression" dxfId="41" priority="8">
      <formula>$D$4="Business Asset Grant (BAG)"</formula>
    </cfRule>
    <cfRule type="expression" dxfId="40" priority="9">
      <formula>$D$4="Capital"</formula>
    </cfRule>
    <cfRule type="expression" dxfId="39" priority="10">
      <formula>$D$4="Employment"</formula>
    </cfRule>
  </conditionalFormatting>
  <conditionalFormatting sqref="I20:X20">
    <cfRule type="expression" dxfId="38" priority="5">
      <formula>$D$4="Capital"</formula>
    </cfRule>
    <cfRule type="expression" dxfId="37" priority="6">
      <formula>$D$4="Employment"</formula>
    </cfRule>
  </conditionalFormatting>
  <conditionalFormatting sqref="I34:X34 A34:H41">
    <cfRule type="expression" dxfId="36" priority="14">
      <formula>$D$4="Feasability"</formula>
    </cfRule>
    <cfRule type="expression" dxfId="35" priority="15">
      <formula>$D$4="R&amp;D"</formula>
    </cfRule>
  </conditionalFormatting>
  <conditionalFormatting sqref="I35:X39">
    <cfRule type="expression" dxfId="34" priority="1">
      <formula>$D$4="R&amp;D"</formula>
    </cfRule>
  </conditionalFormatting>
  <conditionalFormatting sqref="I40:X41">
    <cfRule type="expression" dxfId="33" priority="2">
      <formula>$D$4="Capital"</formula>
    </cfRule>
    <cfRule type="expression" dxfId="32" priority="3">
      <formula>$D$4="Business Asset Grant (BAG)"</formula>
    </cfRule>
    <cfRule type="expression" dxfId="31" priority="4">
      <formula>$D$4="Training"</formula>
    </cfRule>
  </conditionalFormatting>
  <conditionalFormatting sqref="K53:K64">
    <cfRule type="expression" dxfId="30" priority="11">
      <formula>$D$4="Employment"</formula>
    </cfRule>
  </conditionalFormatting>
  <conditionalFormatting sqref="M67:N78">
    <cfRule type="expression" dxfId="29" priority="63">
      <formula>$D$4="Training"</formula>
    </cfRule>
    <cfRule type="expression" dxfId="28" priority="64">
      <formula>$D$4="Employment"</formula>
    </cfRule>
  </conditionalFormatting>
  <conditionalFormatting sqref="Q52:R63">
    <cfRule type="expression" dxfId="27" priority="22">
      <formula>$D$4="Employment"</formula>
    </cfRule>
  </conditionalFormatting>
  <conditionalFormatting sqref="Q66:R79">
    <cfRule type="expression" dxfId="26" priority="32">
      <formula>$D$4="Employment"</formula>
    </cfRule>
  </conditionalFormatting>
  <conditionalFormatting sqref="Q67:R78">
    <cfRule type="expression" dxfId="25" priority="65">
      <formula>$D$4="Employment"</formula>
    </cfRule>
  </conditionalFormatting>
  <conditionalFormatting sqref="T5:W5">
    <cfRule type="expression" dxfId="24" priority="35">
      <formula>$D$4="Employment"</formula>
    </cfRule>
  </conditionalFormatting>
  <conditionalFormatting sqref="T1:Z1">
    <cfRule type="expression" dxfId="23" priority="31">
      <formula>$D$4="Training"</formula>
    </cfRule>
  </conditionalFormatting>
  <conditionalFormatting sqref="T1:Z2">
    <cfRule type="expression" dxfId="22" priority="30">
      <formula>$D$4="Feasability"</formula>
    </cfRule>
    <cfRule type="expression" dxfId="21" priority="56">
      <formula>$D$4="Employment"</formula>
    </cfRule>
  </conditionalFormatting>
  <conditionalFormatting sqref="T47:Z47">
    <cfRule type="expression" dxfId="20" priority="39">
      <formula>$D$4="Training"</formula>
    </cfRule>
  </conditionalFormatting>
  <conditionalFormatting sqref="W28 Y28:Z29 D28">
    <cfRule type="cellIs" dxfId="19" priority="69" operator="equal">
      <formula>"HIDE ROW"</formula>
    </cfRule>
  </conditionalFormatting>
  <conditionalFormatting sqref="W28:X28">
    <cfRule type="expression" dxfId="18" priority="60">
      <formula>$D$4="Business Asset Grant (BAG)"</formula>
    </cfRule>
  </conditionalFormatting>
  <conditionalFormatting sqref="X4:Z4">
    <cfRule type="expression" dxfId="17" priority="24">
      <formula>D4="Business Asset Grant (BAG)"</formula>
    </cfRule>
    <cfRule type="expression" dxfId="16" priority="25">
      <formula>D4="Feasability"</formula>
    </cfRule>
    <cfRule type="expression" dxfId="15" priority="26">
      <formula>D4="R&amp;D"</formula>
    </cfRule>
    <cfRule type="expression" dxfId="14" priority="27">
      <formula>D4="Training"</formula>
    </cfRule>
    <cfRule type="expression" dxfId="13" priority="28">
      <formula>D4="Capital"</formula>
    </cfRule>
    <cfRule type="expression" dxfId="12" priority="29">
      <formula>D4="Employment"</formula>
    </cfRule>
  </conditionalFormatting>
  <conditionalFormatting sqref="X5:Z5">
    <cfRule type="expression" dxfId="11" priority="36">
      <formula>$D$4="Employment"</formula>
    </cfRule>
    <cfRule type="expression" dxfId="10" priority="62">
      <formula>$D$4="Employment"</formula>
    </cfRule>
  </conditionalFormatting>
  <conditionalFormatting sqref="Y15:Z15 I16:X19">
    <cfRule type="expression" dxfId="9" priority="48">
      <formula>$D$4="Capital"</formula>
    </cfRule>
    <cfRule type="expression" dxfId="8" priority="49">
      <formula>$D$4="Employment"</formula>
    </cfRule>
  </conditionalFormatting>
  <conditionalFormatting sqref="Y24:Z24 G25:Z25">
    <cfRule type="expression" dxfId="7" priority="42">
      <formula>$D$4="Training"</formula>
    </cfRule>
    <cfRule type="expression" dxfId="6" priority="43">
      <formula>$D$4="R&amp;D"</formula>
    </cfRule>
  </conditionalFormatting>
  <conditionalFormatting sqref="Y26:Z26">
    <cfRule type="expression" dxfId="5" priority="51">
      <formula>$D$4="Business Asset Grant (BAG)"</formula>
    </cfRule>
  </conditionalFormatting>
  <conditionalFormatting sqref="Y27:Z28 W28">
    <cfRule type="expression" dxfId="4" priority="53">
      <formula>$D$4="Business Asset grant (BAG)"</formula>
    </cfRule>
  </conditionalFormatting>
  <conditionalFormatting sqref="Y30:Z33 I31:X33 D32:E33">
    <cfRule type="expression" dxfId="3" priority="58">
      <formula>$D$4="Capital"</formula>
    </cfRule>
  </conditionalFormatting>
  <conditionalFormatting sqref="Y34:Z34 I35:X38">
    <cfRule type="expression" dxfId="2" priority="55">
      <formula>$D$4="Employment"</formula>
    </cfRule>
  </conditionalFormatting>
  <conditionalFormatting sqref="Y34:Z34 I35:X39">
    <cfRule type="expression" dxfId="1" priority="13">
      <formula>$D$4="Feasability"</formula>
    </cfRule>
  </conditionalFormatting>
  <conditionalFormatting sqref="Y34:Z34">
    <cfRule type="expression" dxfId="0" priority="12">
      <formula>$D$4="R&amp;D"</formula>
    </cfRule>
  </conditionalFormatting>
  <dataValidations count="41">
    <dataValidation operator="lessThanOrEqual" showInputMessage="1" showErrorMessage="1" sqref="K67:L78" xr:uid="{A6F07BEF-F73B-4454-AA90-A54F62BC870B}"/>
    <dataValidation allowBlank="1" showInputMessage="1" showErrorMessage="1" prompt="Date Approved" sqref="I8:L8" xr:uid="{C9B0A088-7F12-4E97-9701-9B03C9FFEC4D}"/>
    <dataValidation allowBlank="1" showInputMessage="1" showErrorMessage="1" prompt="Sign off using initials (To be signed by the Grant Executive)" sqref="Y8:Y49" xr:uid="{6873D371-176F-41C9-9212-09B7585AFDFB}"/>
    <dataValidation type="list" allowBlank="1" showInputMessage="1" showErrorMessage="1" promptTitle="Select level of approval" prompt="From drop down list on right of cell" sqref="E8" xr:uid="{9D23EB88-C33A-4B8B-A2E5-807012D6E208}">
      <formula1>"MIC, Board, Govt., DP Note, WHICH ONE?"</formula1>
    </dataValidation>
    <dataValidation allowBlank="1" showInputMessage="1" showErrorMessage="1" promptTitle="Project End Date" prompt="(DD/MM/YY)" sqref="J9" xr:uid="{BB7E0EF1-37A2-493B-810E-103B9DF32AA6}"/>
    <dataValidation allowBlank="1" showInputMessage="1" showErrorMessage="1" promptTitle="Project Start Date" prompt="(DD/MM/YY)" sqref="F9:H9" xr:uid="{255655BC-88BE-4CAA-903F-B5C6ED188719}"/>
    <dataValidation type="decimal" operator="lessThanOrEqual" showInputMessage="1" showErrorMessage="1" sqref="K53:K63" xr:uid="{1CA80C4B-33F0-4A50-8715-68180F91EFE2}">
      <formula1>#REF!</formula1>
    </dataValidation>
    <dataValidation allowBlank="1" showInputMessage="1" showErrorMessage="1" prompt="Required as per Grant Agreement" sqref="V40:X41 V35:X38 R40:T41 U35:U41 R35:T38 N40:P41 Q35:Q41 N35:P38 I35:I41 M35:M41 J35:L38 J40:L41" xr:uid="{A3CBE0EE-CED5-4D84-84EA-EFA9DCB9A5DD}"/>
    <dataValidation allowBlank="1" showInputMessage="1" showErrorMessage="1" prompt="Associated job numbers" sqref="I33:X33" xr:uid="{E7B172B8-8FFB-4BA6-9A63-F0A45B5365D9}"/>
    <dataValidation allowBlank="1" showInputMessage="1" showErrorMessage="1" prompt="Cumulative Grant (How much we can give at each stage)" sqref="I32:X32" xr:uid="{69A8215F-237C-4D65-9AAA-FB7207F91425}"/>
    <dataValidation allowBlank="1" showInputMessage="1" showErrorMessage="1" prompt="Projected Expenditure" sqref="I31:X31" xr:uid="{D0287E7A-77A1-4FA9-B20F-452434C48385}"/>
    <dataValidation allowBlank="1" showInputMessage="1" showErrorMessage="1" prompt="BAG: Insert employee base number required (e.g. 11 employees)_x000a_" sqref="W28:X28" xr:uid="{14DDCE71-D180-4472-B796-6FDCEA39B025}"/>
    <dataValidation allowBlank="1" showInputMessage="1" showErrorMessage="1" prompt="Info pertaining to grant type and particular to this specific project." sqref="E46:S47" xr:uid="{B2838D08-A1E6-47E5-AAB7-C9E1F92990A6}"/>
    <dataValidation allowBlank="1" showInputMessage="1" showErrorMessage="1" prompt="Date Grant was approved at MIC (DD/MM/YY)" sqref="M8" xr:uid="{2D53991D-110D-41EA-B6FB-7F8CF0952AFB}"/>
    <dataValidation allowBlank="1" showInputMessage="1" showErrorMessage="1" prompt="Proof of lease/title (e.g. solicitors letter affirming such OR IDA solicitor's confirmation)" sqref="R10 D10 M10" xr:uid="{B2493633-CB39-4596-B198-6BE2DF060071}"/>
    <dataValidation allowBlank="1" showInputMessage="1" showErrorMessage="1" prompt="Insert your initials here when you have checked insurance policy and dated in cells above" sqref="I23:X23" xr:uid="{70889015-036D-4B05-8DF3-A1C52CCB3BC1}"/>
    <dataValidation allowBlank="1" showInputMessage="1" showErrorMessage="1" prompt="last date of that year (e.g. 31/12/18)" sqref="E42:X42" xr:uid="{84360DD1-6664-455D-8FD2-5183E847E9FD}"/>
    <dataValidation allowBlank="1" showInputMessage="1" showErrorMessage="1" prompt="-For Capital and Employment Grants there must be an auditors letter confirming Equity or Equivalent either fully up front or on a claim by claim basis. " sqref="I16:X20" xr:uid="{A3D30151-68AD-4B89-B4F3-2B7E15766C5E}"/>
    <dataValidation allowBlank="1" showInputMessage="1" showErrorMessage="1" prompt="Indicate status or add comment" sqref="T45:X47" xr:uid="{A902248B-A6E0-4CD2-8943-D3126D7A0583}"/>
    <dataValidation allowBlank="1" showInputMessage="1" showErrorMessage="1" prompt="Applies to all grant types" sqref="E45:S45" xr:uid="{1ADCB4FF-75F8-45EA-9C27-CEE4A9A5AAF7}"/>
    <dataValidation allowBlank="1" showInputMessage="1" showErrorMessage="1" prompt="Initials to sign off and confirm report has been received/verified (e.g. EH)" sqref="G25:X25" xr:uid="{7090F837-76D1-489F-A5A8-FA7938B064E7}"/>
    <dataValidation allowBlank="1" showErrorMessage="1" sqref="A13:F14" xr:uid="{3DBDBF09-30F5-4255-9B22-F2BEC9D85D21}"/>
    <dataValidation allowBlank="1" showInputMessage="1" showErrorMessage="1" prompt="Initials signature from Grant Executive confirming special conditions memo was signed by relevant Project Executive" sqref="E44:X44" xr:uid="{69BDB66D-0A32-490F-8F87-F0966123280A}"/>
    <dataValidation allowBlank="1" showInputMessage="1" showErrorMessage="1" promptTitle="Input Instruction" prompt="Date Special Conditions Memo is signed by relevant Project Executive" sqref="E43:X43" xr:uid="{3196EE05-4143-4045-A928-101254303833}"/>
    <dataValidation allowBlank="1" showInputMessage="1" showErrorMessage="1" prompt="Insert date that relevant insurance policies are valid for." sqref="I21:X22" xr:uid="{5D65A4B7-C29F-47AC-B350-DAAC6FA9A442}"/>
    <dataValidation allowBlank="1" showInputMessage="1" showErrorMessage="1" promptTitle="Input Instruction" prompt="Info pertaining to grant type and particular to this specific project." sqref="A45 E48" xr:uid="{58740A31-09C9-4C18-9B90-9870B0AF44F7}"/>
    <dataValidation allowBlank="1" showInputMessage="1" showErrorMessage="1" prompt="Date of Independent Accountants Report" sqref="A67:B78 A52:B63" xr:uid="{737E7EBF-74AF-4AAC-A221-AF54C5157E8D}"/>
    <dataValidation allowBlank="1" showInputMessage="1" showErrorMessage="1" prompt="Date report is signed (for that particular claim)" sqref="I67:J78 I52:J63" xr:uid="{C47E0BF8-D78A-4DFD-A68F-2355C1C8FE2D}"/>
    <dataValidation allowBlank="1" showInputMessage="1" showErrorMessage="1" promptTitle="Input Instruction:" prompt="-For Capital and Employment Grants there must be an auditors letter confirming Equity or Equivalent either fully up front or on a claim by claim basis. _x000a_-For R&amp;D Grants there must be a progress report" sqref="AD17" xr:uid="{6BB7546E-7D2D-4ED2-8ACB-E7AFA124364D}"/>
    <dataValidation type="decimal" operator="lessThanOrEqual" allowBlank="1" showInputMessage="1" showErrorMessage="1" sqref="S67:S79 S52:S64" xr:uid="{B903719A-12A3-4C74-A2C0-2331513F2502}">
      <formula1>G52</formula1>
    </dataValidation>
    <dataValidation type="decimal" operator="equal" allowBlank="1" showInputMessage="1" showErrorMessage="1" sqref="G79 G64" xr:uid="{9D50ED83-20FF-4A64-96FF-47FCF8C0B25A}">
      <formula1>SUM(C64:E64)</formula1>
    </dataValidation>
    <dataValidation type="decimal" operator="lessThanOrEqual" showInputMessage="1" showErrorMessage="1" sqref="M67:M78" xr:uid="{A8921BA5-E5B5-48E5-B5FA-A923988C9BB8}">
      <formula1>D67</formula1>
    </dataValidation>
    <dataValidation type="decimal" operator="lessThanOrEqual" showInputMessage="1" showErrorMessage="1" promptTitle="Note: " prompt="Rounding of Grant Instalment Figure: _x000a_-Up to and including .5 gets rounded down. _x000a_-Anything greater than .5 gets rounded up. " sqref="U67:U78 U52:U63" xr:uid="{96861E79-A4EE-4080-8196-1A5E7D24CD88}">
      <formula1>S52</formula1>
    </dataValidation>
    <dataValidation allowBlank="1" showInputMessage="1" showErrorMessage="1" prompt="Will remain blank unless date for approved expenditure is entered (Column E)" sqref="W67:W78 W52:W63" xr:uid="{5323CEE9-84E1-4EC2-AB4A-C3025E81A435}"/>
    <dataValidation allowBlank="1" showInputMessage="1" showErrorMessage="1" prompt="To be completed by Grants Dept. Manager only_x000a_(Sign off using initials)_x000a_" sqref="Y67:Y78 Y52:Y63 Z8:Z49" xr:uid="{22831DB2-4353-4E55-82B0-6D6D7500253F}"/>
    <dataValidation allowBlank="1" showInputMessage="1" showErrorMessage="1" promptTitle="Cumulative Grant" sqref="F32" xr:uid="{B48E067A-1678-4533-A4E3-017252E7FDCA}"/>
    <dataValidation allowBlank="1" showInputMessage="1" showErrorMessage="1" promptTitle="Cumulative Performance" sqref="F33" xr:uid="{73D7B603-64FC-4C66-9A0A-22F2B1F1050F}"/>
    <dataValidation allowBlank="1" showInputMessage="1" showErrorMessage="1" promptTitle="Input Instruction" prompt="Date of review after which a revocation is possible (DD/MM/YY)" sqref="D32:E33" xr:uid="{E6206392-3CB6-474E-A5DE-5C25A0877701}"/>
    <dataValidation allowBlank="1" showInputMessage="1" showErrorMessage="1" prompt="Date on which Tax Clearance is verified (DD/MM/YY)" sqref="G24:X24 G11:X11 G13:X13" xr:uid="{FB69F710-1F6D-4881-BB3A-39AC7C45CEDA}"/>
    <dataValidation allowBlank="1" showInputMessage="1" showErrorMessage="1" prompt="Initials to sign off and confirm date of tax clearance (e.g. DM)" sqref="G12:X12 G14:X14" xr:uid="{4FD13736-4CBA-431A-8324-56CE7ED276B9}"/>
    <dataValidation allowBlank="1" showInputMessage="1" showErrorMessage="1" promptTitle="Input Instruction" prompt="Projected/Target number of jobs (year end)" sqref="I34 Q34 U34 M34" xr:uid="{B487A2FB-06C1-48FA-9BD7-20F96AFFEE24}"/>
  </dataValidations>
  <pageMargins left="0.25" right="0.25" top="0.75" bottom="0.75" header="0.3" footer="0.3"/>
  <pageSetup paperSize="9" scale="70" orientation="portrait" r:id="rId1"/>
  <ignoredErrors>
    <ignoredError sqref="X2:Z4 D1:S2 A9:X10 E42 A12:X12 A11:F11 H11 J11 A25:X25 A24:F24 L11 N11 P11 R11 T11 V11 X11 A14:X23 A13:F13 D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C34"/>
  <sheetViews>
    <sheetView workbookViewId="0">
      <selection activeCell="C37" sqref="C37"/>
    </sheetView>
  </sheetViews>
  <sheetFormatPr defaultRowHeight="14.25"/>
  <cols>
    <col min="2" max="2" width="34.46484375" customWidth="1"/>
    <col min="3" max="3" width="54.53125" customWidth="1"/>
  </cols>
  <sheetData>
    <row r="5" spans="2:3" ht="21" customHeight="1">
      <c r="B5" s="431" t="s">
        <v>56</v>
      </c>
      <c r="C5" s="431"/>
    </row>
    <row r="6" spans="2:3" ht="15" customHeight="1">
      <c r="B6" s="432" t="s">
        <v>57</v>
      </c>
      <c r="C6" s="432"/>
    </row>
    <row r="7" spans="2:3" ht="15" customHeight="1">
      <c r="B7" s="432" t="s">
        <v>58</v>
      </c>
      <c r="C7" s="432"/>
    </row>
    <row r="8" spans="2:3" ht="15" customHeight="1">
      <c r="B8" s="30"/>
    </row>
    <row r="9" spans="2:3" ht="15" customHeight="1">
      <c r="B9" s="30"/>
    </row>
    <row r="10" spans="2:3" ht="15" customHeight="1">
      <c r="B10" s="433" t="s">
        <v>59</v>
      </c>
      <c r="C10" s="434"/>
    </row>
    <row r="11" spans="2:3" ht="14.65" thickBot="1">
      <c r="B11" s="31"/>
    </row>
    <row r="12" spans="2:3" ht="16.149999999999999" thickBot="1">
      <c r="B12" s="32" t="s">
        <v>60</v>
      </c>
      <c r="C12" s="33" t="str">
        <f>Control!B13</f>
        <v xml:space="preserve"> </v>
      </c>
    </row>
    <row r="13" spans="2:3" ht="16.149999999999999" thickBot="1">
      <c r="B13" s="34" t="s">
        <v>61</v>
      </c>
      <c r="C13" s="71">
        <f>Control!B14</f>
        <v>0</v>
      </c>
    </row>
    <row r="14" spans="2:3" ht="16.149999999999999" thickBot="1">
      <c r="B14" s="32" t="s">
        <v>62</v>
      </c>
      <c r="C14" s="70">
        <f>Control!B15</f>
        <v>0</v>
      </c>
    </row>
    <row r="15" spans="2:3" ht="16.149999999999999" thickBot="1">
      <c r="B15" s="34" t="s">
        <v>62</v>
      </c>
      <c r="C15" s="71">
        <f>Control!B16</f>
        <v>0</v>
      </c>
    </row>
    <row r="16" spans="2:3" ht="16.149999999999999" thickBot="1">
      <c r="B16" s="32" t="s">
        <v>62</v>
      </c>
      <c r="C16" s="70">
        <f>Control!B17</f>
        <v>0</v>
      </c>
    </row>
    <row r="17" spans="2:3" ht="16.149999999999999" thickBot="1">
      <c r="B17" s="34" t="s">
        <v>62</v>
      </c>
      <c r="C17" s="71">
        <f>Control!B18</f>
        <v>0</v>
      </c>
    </row>
    <row r="18" spans="2:3" ht="15.75">
      <c r="B18" s="247"/>
      <c r="C18" s="332"/>
    </row>
    <row r="19" spans="2:3" ht="16.149999999999999" thickBot="1">
      <c r="B19" s="42" t="s">
        <v>311</v>
      </c>
      <c r="C19" s="331" t="str">
        <f>Control!B19</f>
        <v xml:space="preserve"> </v>
      </c>
    </row>
    <row r="20" spans="2:3" ht="15.75">
      <c r="B20" s="34" t="s">
        <v>63</v>
      </c>
      <c r="C20" s="35" t="str">
        <f>CONCATENATE(Control!B7," ",Control!B8," ",Control!B9)</f>
        <v xml:space="preserve">   </v>
      </c>
    </row>
    <row r="21" spans="2:3" ht="15.75">
      <c r="B21" s="34" t="s">
        <v>64</v>
      </c>
      <c r="C21" s="36">
        <f>Control!B11</f>
        <v>0</v>
      </c>
    </row>
    <row r="22" spans="2:3" ht="16.149999999999999" thickBot="1">
      <c r="B22" s="34" t="s">
        <v>65</v>
      </c>
      <c r="C22" s="37">
        <f>Control!B10</f>
        <v>0</v>
      </c>
    </row>
    <row r="23" spans="2:3" ht="16.149999999999999" thickBot="1">
      <c r="B23" s="38"/>
      <c r="C23" s="39"/>
    </row>
    <row r="24" spans="2:3" ht="16.149999999999999" thickBot="1">
      <c r="B24" s="40" t="s">
        <v>66</v>
      </c>
      <c r="C24" s="41" t="str">
        <f>Control!B2</f>
        <v xml:space="preserve"> </v>
      </c>
    </row>
    <row r="25" spans="2:3" ht="16.149999999999999" thickBot="1">
      <c r="B25" s="42" t="s">
        <v>67</v>
      </c>
      <c r="C25" s="43" t="str">
        <f>CONCATENATE(Control!B23," ",TEXT(Control!B24,"dd-mmm-yyy"))</f>
        <v xml:space="preserve">   </v>
      </c>
    </row>
    <row r="26" spans="2:3" ht="16.149999999999999" thickBot="1">
      <c r="B26" s="40" t="s">
        <v>68</v>
      </c>
      <c r="C26" s="44" t="str">
        <f>Control!B25</f>
        <v xml:space="preserve"> </v>
      </c>
    </row>
    <row r="27" spans="2:3" ht="16.149999999999999" thickBot="1">
      <c r="B27" s="247" t="str">
        <f>CONCATENATE("Amount on Claim ",Control!B3)</f>
        <v>Amount on Claim 1</v>
      </c>
      <c r="C27" s="248">
        <f>Control!B4</f>
        <v>0</v>
      </c>
    </row>
    <row r="28" spans="2:3" ht="16.149999999999999" thickBot="1">
      <c r="B28" s="250" t="s">
        <v>192</v>
      </c>
      <c r="C28" s="251" t="str">
        <f>Control!B27</f>
        <v xml:space="preserve"> </v>
      </c>
    </row>
    <row r="29" spans="2:3" ht="15.75">
      <c r="B29" s="245" t="s">
        <v>193</v>
      </c>
      <c r="C29" s="252" t="str">
        <f>Control!B28</f>
        <v xml:space="preserve"> </v>
      </c>
    </row>
    <row r="30" spans="2:3" ht="14.65" thickBot="1">
      <c r="B30" s="249"/>
      <c r="C30" s="249"/>
    </row>
    <row r="31" spans="2:3" ht="16.149999999999999" thickBot="1">
      <c r="B31" s="250" t="s">
        <v>115</v>
      </c>
      <c r="C31" s="404">
        <f>Control!B20</f>
        <v>0</v>
      </c>
    </row>
    <row r="32" spans="2:3" ht="14.65" thickBot="1"/>
    <row r="33" spans="2:3" ht="18.399999999999999" thickBot="1">
      <c r="B33" s="405" t="s">
        <v>332</v>
      </c>
      <c r="C33" s="406">
        <f>Control!D3</f>
        <v>0</v>
      </c>
    </row>
    <row r="34" spans="2:3">
      <c r="C34" s="246"/>
    </row>
  </sheetData>
  <mergeCells count="4">
    <mergeCell ref="B5:C5"/>
    <mergeCell ref="B6:C6"/>
    <mergeCell ref="B7:C7"/>
    <mergeCell ref="B10:C10"/>
  </mergeCells>
  <pageMargins left="0.7" right="0.7" top="0.75" bottom="0.75" header="0.3" footer="0.3"/>
  <pageSetup paperSize="9" orientation="portrait" r:id="rId1"/>
  <ignoredErrors>
    <ignoredError xmlns:x16r3="http://schemas.microsoft.com/office/spreadsheetml/2018/08/main" sqref="C31"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5" zoomScaleNormal="100" workbookViewId="0">
      <selection activeCell="C30" sqref="C30"/>
    </sheetView>
  </sheetViews>
  <sheetFormatPr defaultRowHeight="14.25"/>
  <cols>
    <col min="1" max="1" width="29.46484375" customWidth="1"/>
    <col min="2" max="2" width="12.33203125" customWidth="1"/>
    <col min="3" max="3" width="15.1328125" bestFit="1" customWidth="1"/>
    <col min="4" max="5" width="11.6640625" customWidth="1"/>
    <col min="6" max="6" width="13.46484375" customWidth="1"/>
    <col min="7" max="7" width="12.53125" customWidth="1"/>
    <col min="8" max="8" width="11.86328125" bestFit="1" customWidth="1"/>
    <col min="9" max="9" width="29.6640625" customWidth="1"/>
    <col min="10" max="10" width="9.1328125" style="2"/>
    <col min="257" max="257" width="28.1328125" bestFit="1" customWidth="1"/>
    <col min="258" max="258" width="12.33203125" customWidth="1"/>
    <col min="259" max="259" width="15.1328125" bestFit="1" customWidth="1"/>
    <col min="260" max="261" width="11.6640625" customWidth="1"/>
    <col min="262" max="263" width="14.53125" customWidth="1"/>
    <col min="264" max="264" width="13.53125" customWidth="1"/>
    <col min="265" max="265" width="17.6640625" bestFit="1" customWidth="1"/>
    <col min="513" max="513" width="28.1328125" bestFit="1" customWidth="1"/>
    <col min="514" max="514" width="12.33203125" customWidth="1"/>
    <col min="515" max="515" width="15.1328125" bestFit="1" customWidth="1"/>
    <col min="516" max="517" width="11.6640625" customWidth="1"/>
    <col min="518" max="519" width="14.53125" customWidth="1"/>
    <col min="520" max="520" width="13.53125" customWidth="1"/>
    <col min="521" max="521" width="17.6640625" bestFit="1" customWidth="1"/>
    <col min="769" max="769" width="28.1328125" bestFit="1" customWidth="1"/>
    <col min="770" max="770" width="12.33203125" customWidth="1"/>
    <col min="771" max="771" width="15.1328125" bestFit="1" customWidth="1"/>
    <col min="772" max="773" width="11.6640625" customWidth="1"/>
    <col min="774" max="775" width="14.53125" customWidth="1"/>
    <col min="776" max="776" width="13.53125" customWidth="1"/>
    <col min="777" max="777" width="17.6640625" bestFit="1" customWidth="1"/>
    <col min="1025" max="1025" width="28.1328125" bestFit="1" customWidth="1"/>
    <col min="1026" max="1026" width="12.33203125" customWidth="1"/>
    <col min="1027" max="1027" width="15.1328125" bestFit="1" customWidth="1"/>
    <col min="1028" max="1029" width="11.6640625" customWidth="1"/>
    <col min="1030" max="1031" width="14.53125" customWidth="1"/>
    <col min="1032" max="1032" width="13.53125" customWidth="1"/>
    <col min="1033" max="1033" width="17.6640625" bestFit="1" customWidth="1"/>
    <col min="1281" max="1281" width="28.1328125" bestFit="1" customWidth="1"/>
    <col min="1282" max="1282" width="12.33203125" customWidth="1"/>
    <col min="1283" max="1283" width="15.1328125" bestFit="1" customWidth="1"/>
    <col min="1284" max="1285" width="11.6640625" customWidth="1"/>
    <col min="1286" max="1287" width="14.53125" customWidth="1"/>
    <col min="1288" max="1288" width="13.53125" customWidth="1"/>
    <col min="1289" max="1289" width="17.6640625" bestFit="1" customWidth="1"/>
    <col min="1537" max="1537" width="28.1328125" bestFit="1" customWidth="1"/>
    <col min="1538" max="1538" width="12.33203125" customWidth="1"/>
    <col min="1539" max="1539" width="15.1328125" bestFit="1" customWidth="1"/>
    <col min="1540" max="1541" width="11.6640625" customWidth="1"/>
    <col min="1542" max="1543" width="14.53125" customWidth="1"/>
    <col min="1544" max="1544" width="13.53125" customWidth="1"/>
    <col min="1545" max="1545" width="17.6640625" bestFit="1" customWidth="1"/>
    <col min="1793" max="1793" width="28.1328125" bestFit="1" customWidth="1"/>
    <col min="1794" max="1794" width="12.33203125" customWidth="1"/>
    <col min="1795" max="1795" width="15.1328125" bestFit="1" customWidth="1"/>
    <col min="1796" max="1797" width="11.6640625" customWidth="1"/>
    <col min="1798" max="1799" width="14.53125" customWidth="1"/>
    <col min="1800" max="1800" width="13.53125" customWidth="1"/>
    <col min="1801" max="1801" width="17.6640625" bestFit="1" customWidth="1"/>
    <col min="2049" max="2049" width="28.1328125" bestFit="1" customWidth="1"/>
    <col min="2050" max="2050" width="12.33203125" customWidth="1"/>
    <col min="2051" max="2051" width="15.1328125" bestFit="1" customWidth="1"/>
    <col min="2052" max="2053" width="11.6640625" customWidth="1"/>
    <col min="2054" max="2055" width="14.53125" customWidth="1"/>
    <col min="2056" max="2056" width="13.53125" customWidth="1"/>
    <col min="2057" max="2057" width="17.6640625" bestFit="1" customWidth="1"/>
    <col min="2305" max="2305" width="28.1328125" bestFit="1" customWidth="1"/>
    <col min="2306" max="2306" width="12.33203125" customWidth="1"/>
    <col min="2307" max="2307" width="15.1328125" bestFit="1" customWidth="1"/>
    <col min="2308" max="2309" width="11.6640625" customWidth="1"/>
    <col min="2310" max="2311" width="14.53125" customWidth="1"/>
    <col min="2312" max="2312" width="13.53125" customWidth="1"/>
    <col min="2313" max="2313" width="17.6640625" bestFit="1" customWidth="1"/>
    <col min="2561" max="2561" width="28.1328125" bestFit="1" customWidth="1"/>
    <col min="2562" max="2562" width="12.33203125" customWidth="1"/>
    <col min="2563" max="2563" width="15.1328125" bestFit="1" customWidth="1"/>
    <col min="2564" max="2565" width="11.6640625" customWidth="1"/>
    <col min="2566" max="2567" width="14.53125" customWidth="1"/>
    <col min="2568" max="2568" width="13.53125" customWidth="1"/>
    <col min="2569" max="2569" width="17.6640625" bestFit="1" customWidth="1"/>
    <col min="2817" max="2817" width="28.1328125" bestFit="1" customWidth="1"/>
    <col min="2818" max="2818" width="12.33203125" customWidth="1"/>
    <col min="2819" max="2819" width="15.1328125" bestFit="1" customWidth="1"/>
    <col min="2820" max="2821" width="11.6640625" customWidth="1"/>
    <col min="2822" max="2823" width="14.53125" customWidth="1"/>
    <col min="2824" max="2824" width="13.53125" customWidth="1"/>
    <col min="2825" max="2825" width="17.6640625" bestFit="1" customWidth="1"/>
    <col min="3073" max="3073" width="28.1328125" bestFit="1" customWidth="1"/>
    <col min="3074" max="3074" width="12.33203125" customWidth="1"/>
    <col min="3075" max="3075" width="15.1328125" bestFit="1" customWidth="1"/>
    <col min="3076" max="3077" width="11.6640625" customWidth="1"/>
    <col min="3078" max="3079" width="14.53125" customWidth="1"/>
    <col min="3080" max="3080" width="13.53125" customWidth="1"/>
    <col min="3081" max="3081" width="17.6640625" bestFit="1" customWidth="1"/>
    <col min="3329" max="3329" width="28.1328125" bestFit="1" customWidth="1"/>
    <col min="3330" max="3330" width="12.33203125" customWidth="1"/>
    <col min="3331" max="3331" width="15.1328125" bestFit="1" customWidth="1"/>
    <col min="3332" max="3333" width="11.6640625" customWidth="1"/>
    <col min="3334" max="3335" width="14.53125" customWidth="1"/>
    <col min="3336" max="3336" width="13.53125" customWidth="1"/>
    <col min="3337" max="3337" width="17.6640625" bestFit="1" customWidth="1"/>
    <col min="3585" max="3585" width="28.1328125" bestFit="1" customWidth="1"/>
    <col min="3586" max="3586" width="12.33203125" customWidth="1"/>
    <col min="3587" max="3587" width="15.1328125" bestFit="1" customWidth="1"/>
    <col min="3588" max="3589" width="11.6640625" customWidth="1"/>
    <col min="3590" max="3591" width="14.53125" customWidth="1"/>
    <col min="3592" max="3592" width="13.53125" customWidth="1"/>
    <col min="3593" max="3593" width="17.6640625" bestFit="1" customWidth="1"/>
    <col min="3841" max="3841" width="28.1328125" bestFit="1" customWidth="1"/>
    <col min="3842" max="3842" width="12.33203125" customWidth="1"/>
    <col min="3843" max="3843" width="15.1328125" bestFit="1" customWidth="1"/>
    <col min="3844" max="3845" width="11.6640625" customWidth="1"/>
    <col min="3846" max="3847" width="14.53125" customWidth="1"/>
    <col min="3848" max="3848" width="13.53125" customWidth="1"/>
    <col min="3849" max="3849" width="17.6640625" bestFit="1" customWidth="1"/>
    <col min="4097" max="4097" width="28.1328125" bestFit="1" customWidth="1"/>
    <col min="4098" max="4098" width="12.33203125" customWidth="1"/>
    <col min="4099" max="4099" width="15.1328125" bestFit="1" customWidth="1"/>
    <col min="4100" max="4101" width="11.6640625" customWidth="1"/>
    <col min="4102" max="4103" width="14.53125" customWidth="1"/>
    <col min="4104" max="4104" width="13.53125" customWidth="1"/>
    <col min="4105" max="4105" width="17.6640625" bestFit="1" customWidth="1"/>
    <col min="4353" max="4353" width="28.1328125" bestFit="1" customWidth="1"/>
    <col min="4354" max="4354" width="12.33203125" customWidth="1"/>
    <col min="4355" max="4355" width="15.1328125" bestFit="1" customWidth="1"/>
    <col min="4356" max="4357" width="11.6640625" customWidth="1"/>
    <col min="4358" max="4359" width="14.53125" customWidth="1"/>
    <col min="4360" max="4360" width="13.53125" customWidth="1"/>
    <col min="4361" max="4361" width="17.6640625" bestFit="1" customWidth="1"/>
    <col min="4609" max="4609" width="28.1328125" bestFit="1" customWidth="1"/>
    <col min="4610" max="4610" width="12.33203125" customWidth="1"/>
    <col min="4611" max="4611" width="15.1328125" bestFit="1" customWidth="1"/>
    <col min="4612" max="4613" width="11.6640625" customWidth="1"/>
    <col min="4614" max="4615" width="14.53125" customWidth="1"/>
    <col min="4616" max="4616" width="13.53125" customWidth="1"/>
    <col min="4617" max="4617" width="17.6640625" bestFit="1" customWidth="1"/>
    <col min="4865" max="4865" width="28.1328125" bestFit="1" customWidth="1"/>
    <col min="4866" max="4866" width="12.33203125" customWidth="1"/>
    <col min="4867" max="4867" width="15.1328125" bestFit="1" customWidth="1"/>
    <col min="4868" max="4869" width="11.6640625" customWidth="1"/>
    <col min="4870" max="4871" width="14.53125" customWidth="1"/>
    <col min="4872" max="4872" width="13.53125" customWidth="1"/>
    <col min="4873" max="4873" width="17.6640625" bestFit="1" customWidth="1"/>
    <col min="5121" max="5121" width="28.1328125" bestFit="1" customWidth="1"/>
    <col min="5122" max="5122" width="12.33203125" customWidth="1"/>
    <col min="5123" max="5123" width="15.1328125" bestFit="1" customWidth="1"/>
    <col min="5124" max="5125" width="11.6640625" customWidth="1"/>
    <col min="5126" max="5127" width="14.53125" customWidth="1"/>
    <col min="5128" max="5128" width="13.53125" customWidth="1"/>
    <col min="5129" max="5129" width="17.6640625" bestFit="1" customWidth="1"/>
    <col min="5377" max="5377" width="28.1328125" bestFit="1" customWidth="1"/>
    <col min="5378" max="5378" width="12.33203125" customWidth="1"/>
    <col min="5379" max="5379" width="15.1328125" bestFit="1" customWidth="1"/>
    <col min="5380" max="5381" width="11.6640625" customWidth="1"/>
    <col min="5382" max="5383" width="14.53125" customWidth="1"/>
    <col min="5384" max="5384" width="13.53125" customWidth="1"/>
    <col min="5385" max="5385" width="17.6640625" bestFit="1" customWidth="1"/>
    <col min="5633" max="5633" width="28.1328125" bestFit="1" customWidth="1"/>
    <col min="5634" max="5634" width="12.33203125" customWidth="1"/>
    <col min="5635" max="5635" width="15.1328125" bestFit="1" customWidth="1"/>
    <col min="5636" max="5637" width="11.6640625" customWidth="1"/>
    <col min="5638" max="5639" width="14.53125" customWidth="1"/>
    <col min="5640" max="5640" width="13.53125" customWidth="1"/>
    <col min="5641" max="5641" width="17.6640625" bestFit="1" customWidth="1"/>
    <col min="5889" max="5889" width="28.1328125" bestFit="1" customWidth="1"/>
    <col min="5890" max="5890" width="12.33203125" customWidth="1"/>
    <col min="5891" max="5891" width="15.1328125" bestFit="1" customWidth="1"/>
    <col min="5892" max="5893" width="11.6640625" customWidth="1"/>
    <col min="5894" max="5895" width="14.53125" customWidth="1"/>
    <col min="5896" max="5896" width="13.53125" customWidth="1"/>
    <col min="5897" max="5897" width="17.6640625" bestFit="1" customWidth="1"/>
    <col min="6145" max="6145" width="28.1328125" bestFit="1" customWidth="1"/>
    <col min="6146" max="6146" width="12.33203125" customWidth="1"/>
    <col min="6147" max="6147" width="15.1328125" bestFit="1" customWidth="1"/>
    <col min="6148" max="6149" width="11.6640625" customWidth="1"/>
    <col min="6150" max="6151" width="14.53125" customWidth="1"/>
    <col min="6152" max="6152" width="13.53125" customWidth="1"/>
    <col min="6153" max="6153" width="17.6640625" bestFit="1" customWidth="1"/>
    <col min="6401" max="6401" width="28.1328125" bestFit="1" customWidth="1"/>
    <col min="6402" max="6402" width="12.33203125" customWidth="1"/>
    <col min="6403" max="6403" width="15.1328125" bestFit="1" customWidth="1"/>
    <col min="6404" max="6405" width="11.6640625" customWidth="1"/>
    <col min="6406" max="6407" width="14.53125" customWidth="1"/>
    <col min="6408" max="6408" width="13.53125" customWidth="1"/>
    <col min="6409" max="6409" width="17.6640625" bestFit="1" customWidth="1"/>
    <col min="6657" max="6657" width="28.1328125" bestFit="1" customWidth="1"/>
    <col min="6658" max="6658" width="12.33203125" customWidth="1"/>
    <col min="6659" max="6659" width="15.1328125" bestFit="1" customWidth="1"/>
    <col min="6660" max="6661" width="11.6640625" customWidth="1"/>
    <col min="6662" max="6663" width="14.53125" customWidth="1"/>
    <col min="6664" max="6664" width="13.53125" customWidth="1"/>
    <col min="6665" max="6665" width="17.6640625" bestFit="1" customWidth="1"/>
    <col min="6913" max="6913" width="28.1328125" bestFit="1" customWidth="1"/>
    <col min="6914" max="6914" width="12.33203125" customWidth="1"/>
    <col min="6915" max="6915" width="15.1328125" bestFit="1" customWidth="1"/>
    <col min="6916" max="6917" width="11.6640625" customWidth="1"/>
    <col min="6918" max="6919" width="14.53125" customWidth="1"/>
    <col min="6920" max="6920" width="13.53125" customWidth="1"/>
    <col min="6921" max="6921" width="17.6640625" bestFit="1" customWidth="1"/>
    <col min="7169" max="7169" width="28.1328125" bestFit="1" customWidth="1"/>
    <col min="7170" max="7170" width="12.33203125" customWidth="1"/>
    <col min="7171" max="7171" width="15.1328125" bestFit="1" customWidth="1"/>
    <col min="7172" max="7173" width="11.6640625" customWidth="1"/>
    <col min="7174" max="7175" width="14.53125" customWidth="1"/>
    <col min="7176" max="7176" width="13.53125" customWidth="1"/>
    <col min="7177" max="7177" width="17.6640625" bestFit="1" customWidth="1"/>
    <col min="7425" max="7425" width="28.1328125" bestFit="1" customWidth="1"/>
    <col min="7426" max="7426" width="12.33203125" customWidth="1"/>
    <col min="7427" max="7427" width="15.1328125" bestFit="1" customWidth="1"/>
    <col min="7428" max="7429" width="11.6640625" customWidth="1"/>
    <col min="7430" max="7431" width="14.53125" customWidth="1"/>
    <col min="7432" max="7432" width="13.53125" customWidth="1"/>
    <col min="7433" max="7433" width="17.6640625" bestFit="1" customWidth="1"/>
    <col min="7681" max="7681" width="28.1328125" bestFit="1" customWidth="1"/>
    <col min="7682" max="7682" width="12.33203125" customWidth="1"/>
    <col min="7683" max="7683" width="15.1328125" bestFit="1" customWidth="1"/>
    <col min="7684" max="7685" width="11.6640625" customWidth="1"/>
    <col min="7686" max="7687" width="14.53125" customWidth="1"/>
    <col min="7688" max="7688" width="13.53125" customWidth="1"/>
    <col min="7689" max="7689" width="17.6640625" bestFit="1" customWidth="1"/>
    <col min="7937" max="7937" width="28.1328125" bestFit="1" customWidth="1"/>
    <col min="7938" max="7938" width="12.33203125" customWidth="1"/>
    <col min="7939" max="7939" width="15.1328125" bestFit="1" customWidth="1"/>
    <col min="7940" max="7941" width="11.6640625" customWidth="1"/>
    <col min="7942" max="7943" width="14.53125" customWidth="1"/>
    <col min="7944" max="7944" width="13.53125" customWidth="1"/>
    <col min="7945" max="7945" width="17.6640625" bestFit="1" customWidth="1"/>
    <col min="8193" max="8193" width="28.1328125" bestFit="1" customWidth="1"/>
    <col min="8194" max="8194" width="12.33203125" customWidth="1"/>
    <col min="8195" max="8195" width="15.1328125" bestFit="1" customWidth="1"/>
    <col min="8196" max="8197" width="11.6640625" customWidth="1"/>
    <col min="8198" max="8199" width="14.53125" customWidth="1"/>
    <col min="8200" max="8200" width="13.53125" customWidth="1"/>
    <col min="8201" max="8201" width="17.6640625" bestFit="1" customWidth="1"/>
    <col min="8449" max="8449" width="28.1328125" bestFit="1" customWidth="1"/>
    <col min="8450" max="8450" width="12.33203125" customWidth="1"/>
    <col min="8451" max="8451" width="15.1328125" bestFit="1" customWidth="1"/>
    <col min="8452" max="8453" width="11.6640625" customWidth="1"/>
    <col min="8454" max="8455" width="14.53125" customWidth="1"/>
    <col min="8456" max="8456" width="13.53125" customWidth="1"/>
    <col min="8457" max="8457" width="17.6640625" bestFit="1" customWidth="1"/>
    <col min="8705" max="8705" width="28.1328125" bestFit="1" customWidth="1"/>
    <col min="8706" max="8706" width="12.33203125" customWidth="1"/>
    <col min="8707" max="8707" width="15.1328125" bestFit="1" customWidth="1"/>
    <col min="8708" max="8709" width="11.6640625" customWidth="1"/>
    <col min="8710" max="8711" width="14.53125" customWidth="1"/>
    <col min="8712" max="8712" width="13.53125" customWidth="1"/>
    <col min="8713" max="8713" width="17.6640625" bestFit="1" customWidth="1"/>
    <col min="8961" max="8961" width="28.1328125" bestFit="1" customWidth="1"/>
    <col min="8962" max="8962" width="12.33203125" customWidth="1"/>
    <col min="8963" max="8963" width="15.1328125" bestFit="1" customWidth="1"/>
    <col min="8964" max="8965" width="11.6640625" customWidth="1"/>
    <col min="8966" max="8967" width="14.53125" customWidth="1"/>
    <col min="8968" max="8968" width="13.53125" customWidth="1"/>
    <col min="8969" max="8969" width="17.6640625" bestFit="1" customWidth="1"/>
    <col min="9217" max="9217" width="28.1328125" bestFit="1" customWidth="1"/>
    <col min="9218" max="9218" width="12.33203125" customWidth="1"/>
    <col min="9219" max="9219" width="15.1328125" bestFit="1" customWidth="1"/>
    <col min="9220" max="9221" width="11.6640625" customWidth="1"/>
    <col min="9222" max="9223" width="14.53125" customWidth="1"/>
    <col min="9224" max="9224" width="13.53125" customWidth="1"/>
    <col min="9225" max="9225" width="17.6640625" bestFit="1" customWidth="1"/>
    <col min="9473" max="9473" width="28.1328125" bestFit="1" customWidth="1"/>
    <col min="9474" max="9474" width="12.33203125" customWidth="1"/>
    <col min="9475" max="9475" width="15.1328125" bestFit="1" customWidth="1"/>
    <col min="9476" max="9477" width="11.6640625" customWidth="1"/>
    <col min="9478" max="9479" width="14.53125" customWidth="1"/>
    <col min="9480" max="9480" width="13.53125" customWidth="1"/>
    <col min="9481" max="9481" width="17.6640625" bestFit="1" customWidth="1"/>
    <col min="9729" max="9729" width="28.1328125" bestFit="1" customWidth="1"/>
    <col min="9730" max="9730" width="12.33203125" customWidth="1"/>
    <col min="9731" max="9731" width="15.1328125" bestFit="1" customWidth="1"/>
    <col min="9732" max="9733" width="11.6640625" customWidth="1"/>
    <col min="9734" max="9735" width="14.53125" customWidth="1"/>
    <col min="9736" max="9736" width="13.53125" customWidth="1"/>
    <col min="9737" max="9737" width="17.6640625" bestFit="1" customWidth="1"/>
    <col min="9985" max="9985" width="28.1328125" bestFit="1" customWidth="1"/>
    <col min="9986" max="9986" width="12.33203125" customWidth="1"/>
    <col min="9987" max="9987" width="15.1328125" bestFit="1" customWidth="1"/>
    <col min="9988" max="9989" width="11.6640625" customWidth="1"/>
    <col min="9990" max="9991" width="14.53125" customWidth="1"/>
    <col min="9992" max="9992" width="13.53125" customWidth="1"/>
    <col min="9993" max="9993" width="17.6640625" bestFit="1" customWidth="1"/>
    <col min="10241" max="10241" width="28.1328125" bestFit="1" customWidth="1"/>
    <col min="10242" max="10242" width="12.33203125" customWidth="1"/>
    <col min="10243" max="10243" width="15.1328125" bestFit="1" customWidth="1"/>
    <col min="10244" max="10245" width="11.6640625" customWidth="1"/>
    <col min="10246" max="10247" width="14.53125" customWidth="1"/>
    <col min="10248" max="10248" width="13.53125" customWidth="1"/>
    <col min="10249" max="10249" width="17.6640625" bestFit="1" customWidth="1"/>
    <col min="10497" max="10497" width="28.1328125" bestFit="1" customWidth="1"/>
    <col min="10498" max="10498" width="12.33203125" customWidth="1"/>
    <col min="10499" max="10499" width="15.1328125" bestFit="1" customWidth="1"/>
    <col min="10500" max="10501" width="11.6640625" customWidth="1"/>
    <col min="10502" max="10503" width="14.53125" customWidth="1"/>
    <col min="10504" max="10504" width="13.53125" customWidth="1"/>
    <col min="10505" max="10505" width="17.6640625" bestFit="1" customWidth="1"/>
    <col min="10753" max="10753" width="28.1328125" bestFit="1" customWidth="1"/>
    <col min="10754" max="10754" width="12.33203125" customWidth="1"/>
    <col min="10755" max="10755" width="15.1328125" bestFit="1" customWidth="1"/>
    <col min="10756" max="10757" width="11.6640625" customWidth="1"/>
    <col min="10758" max="10759" width="14.53125" customWidth="1"/>
    <col min="10760" max="10760" width="13.53125" customWidth="1"/>
    <col min="10761" max="10761" width="17.6640625" bestFit="1" customWidth="1"/>
    <col min="11009" max="11009" width="28.1328125" bestFit="1" customWidth="1"/>
    <col min="11010" max="11010" width="12.33203125" customWidth="1"/>
    <col min="11011" max="11011" width="15.1328125" bestFit="1" customWidth="1"/>
    <col min="11012" max="11013" width="11.6640625" customWidth="1"/>
    <col min="11014" max="11015" width="14.53125" customWidth="1"/>
    <col min="11016" max="11016" width="13.53125" customWidth="1"/>
    <col min="11017" max="11017" width="17.6640625" bestFit="1" customWidth="1"/>
    <col min="11265" max="11265" width="28.1328125" bestFit="1" customWidth="1"/>
    <col min="11266" max="11266" width="12.33203125" customWidth="1"/>
    <col min="11267" max="11267" width="15.1328125" bestFit="1" customWidth="1"/>
    <col min="11268" max="11269" width="11.6640625" customWidth="1"/>
    <col min="11270" max="11271" width="14.53125" customWidth="1"/>
    <col min="11272" max="11272" width="13.53125" customWidth="1"/>
    <col min="11273" max="11273" width="17.6640625" bestFit="1" customWidth="1"/>
    <col min="11521" max="11521" width="28.1328125" bestFit="1" customWidth="1"/>
    <col min="11522" max="11522" width="12.33203125" customWidth="1"/>
    <col min="11523" max="11523" width="15.1328125" bestFit="1" customWidth="1"/>
    <col min="11524" max="11525" width="11.6640625" customWidth="1"/>
    <col min="11526" max="11527" width="14.53125" customWidth="1"/>
    <col min="11528" max="11528" width="13.53125" customWidth="1"/>
    <col min="11529" max="11529" width="17.6640625" bestFit="1" customWidth="1"/>
    <col min="11777" max="11777" width="28.1328125" bestFit="1" customWidth="1"/>
    <col min="11778" max="11778" width="12.33203125" customWidth="1"/>
    <col min="11779" max="11779" width="15.1328125" bestFit="1" customWidth="1"/>
    <col min="11780" max="11781" width="11.6640625" customWidth="1"/>
    <col min="11782" max="11783" width="14.53125" customWidth="1"/>
    <col min="11784" max="11784" width="13.53125" customWidth="1"/>
    <col min="11785" max="11785" width="17.6640625" bestFit="1" customWidth="1"/>
    <col min="12033" max="12033" width="28.1328125" bestFit="1" customWidth="1"/>
    <col min="12034" max="12034" width="12.33203125" customWidth="1"/>
    <col min="12035" max="12035" width="15.1328125" bestFit="1" customWidth="1"/>
    <col min="12036" max="12037" width="11.6640625" customWidth="1"/>
    <col min="12038" max="12039" width="14.53125" customWidth="1"/>
    <col min="12040" max="12040" width="13.53125" customWidth="1"/>
    <col min="12041" max="12041" width="17.6640625" bestFit="1" customWidth="1"/>
    <col min="12289" max="12289" width="28.1328125" bestFit="1" customWidth="1"/>
    <col min="12290" max="12290" width="12.33203125" customWidth="1"/>
    <col min="12291" max="12291" width="15.1328125" bestFit="1" customWidth="1"/>
    <col min="12292" max="12293" width="11.6640625" customWidth="1"/>
    <col min="12294" max="12295" width="14.53125" customWidth="1"/>
    <col min="12296" max="12296" width="13.53125" customWidth="1"/>
    <col min="12297" max="12297" width="17.6640625" bestFit="1" customWidth="1"/>
    <col min="12545" max="12545" width="28.1328125" bestFit="1" customWidth="1"/>
    <col min="12546" max="12546" width="12.33203125" customWidth="1"/>
    <col min="12547" max="12547" width="15.1328125" bestFit="1" customWidth="1"/>
    <col min="12548" max="12549" width="11.6640625" customWidth="1"/>
    <col min="12550" max="12551" width="14.53125" customWidth="1"/>
    <col min="12552" max="12552" width="13.53125" customWidth="1"/>
    <col min="12553" max="12553" width="17.6640625" bestFit="1" customWidth="1"/>
    <col min="12801" max="12801" width="28.1328125" bestFit="1" customWidth="1"/>
    <col min="12802" max="12802" width="12.33203125" customWidth="1"/>
    <col min="12803" max="12803" width="15.1328125" bestFit="1" customWidth="1"/>
    <col min="12804" max="12805" width="11.6640625" customWidth="1"/>
    <col min="12806" max="12807" width="14.53125" customWidth="1"/>
    <col min="12808" max="12808" width="13.53125" customWidth="1"/>
    <col min="12809" max="12809" width="17.6640625" bestFit="1" customWidth="1"/>
    <col min="13057" max="13057" width="28.1328125" bestFit="1" customWidth="1"/>
    <col min="13058" max="13058" width="12.33203125" customWidth="1"/>
    <col min="13059" max="13059" width="15.1328125" bestFit="1" customWidth="1"/>
    <col min="13060" max="13061" width="11.6640625" customWidth="1"/>
    <col min="13062" max="13063" width="14.53125" customWidth="1"/>
    <col min="13064" max="13064" width="13.53125" customWidth="1"/>
    <col min="13065" max="13065" width="17.6640625" bestFit="1" customWidth="1"/>
    <col min="13313" max="13313" width="28.1328125" bestFit="1" customWidth="1"/>
    <col min="13314" max="13314" width="12.33203125" customWidth="1"/>
    <col min="13315" max="13315" width="15.1328125" bestFit="1" customWidth="1"/>
    <col min="13316" max="13317" width="11.6640625" customWidth="1"/>
    <col min="13318" max="13319" width="14.53125" customWidth="1"/>
    <col min="13320" max="13320" width="13.53125" customWidth="1"/>
    <col min="13321" max="13321" width="17.6640625" bestFit="1" customWidth="1"/>
    <col min="13569" max="13569" width="28.1328125" bestFit="1" customWidth="1"/>
    <col min="13570" max="13570" width="12.33203125" customWidth="1"/>
    <col min="13571" max="13571" width="15.1328125" bestFit="1" customWidth="1"/>
    <col min="13572" max="13573" width="11.6640625" customWidth="1"/>
    <col min="13574" max="13575" width="14.53125" customWidth="1"/>
    <col min="13576" max="13576" width="13.53125" customWidth="1"/>
    <col min="13577" max="13577" width="17.6640625" bestFit="1" customWidth="1"/>
    <col min="13825" max="13825" width="28.1328125" bestFit="1" customWidth="1"/>
    <col min="13826" max="13826" width="12.33203125" customWidth="1"/>
    <col min="13827" max="13827" width="15.1328125" bestFit="1" customWidth="1"/>
    <col min="13828" max="13829" width="11.6640625" customWidth="1"/>
    <col min="13830" max="13831" width="14.53125" customWidth="1"/>
    <col min="13832" max="13832" width="13.53125" customWidth="1"/>
    <col min="13833" max="13833" width="17.6640625" bestFit="1" customWidth="1"/>
    <col min="14081" max="14081" width="28.1328125" bestFit="1" customWidth="1"/>
    <col min="14082" max="14082" width="12.33203125" customWidth="1"/>
    <col min="14083" max="14083" width="15.1328125" bestFit="1" customWidth="1"/>
    <col min="14084" max="14085" width="11.6640625" customWidth="1"/>
    <col min="14086" max="14087" width="14.53125" customWidth="1"/>
    <col min="14088" max="14088" width="13.53125" customWidth="1"/>
    <col min="14089" max="14089" width="17.6640625" bestFit="1" customWidth="1"/>
    <col min="14337" max="14337" width="28.1328125" bestFit="1" customWidth="1"/>
    <col min="14338" max="14338" width="12.33203125" customWidth="1"/>
    <col min="14339" max="14339" width="15.1328125" bestFit="1" customWidth="1"/>
    <col min="14340" max="14341" width="11.6640625" customWidth="1"/>
    <col min="14342" max="14343" width="14.53125" customWidth="1"/>
    <col min="14344" max="14344" width="13.53125" customWidth="1"/>
    <col min="14345" max="14345" width="17.6640625" bestFit="1" customWidth="1"/>
    <col min="14593" max="14593" width="28.1328125" bestFit="1" customWidth="1"/>
    <col min="14594" max="14594" width="12.33203125" customWidth="1"/>
    <col min="14595" max="14595" width="15.1328125" bestFit="1" customWidth="1"/>
    <col min="14596" max="14597" width="11.6640625" customWidth="1"/>
    <col min="14598" max="14599" width="14.53125" customWidth="1"/>
    <col min="14600" max="14600" width="13.53125" customWidth="1"/>
    <col min="14601" max="14601" width="17.6640625" bestFit="1" customWidth="1"/>
    <col min="14849" max="14849" width="28.1328125" bestFit="1" customWidth="1"/>
    <col min="14850" max="14850" width="12.33203125" customWidth="1"/>
    <col min="14851" max="14851" width="15.1328125" bestFit="1" customWidth="1"/>
    <col min="14852" max="14853" width="11.6640625" customWidth="1"/>
    <col min="14854" max="14855" width="14.53125" customWidth="1"/>
    <col min="14856" max="14856" width="13.53125" customWidth="1"/>
    <col min="14857" max="14857" width="17.6640625" bestFit="1" customWidth="1"/>
    <col min="15105" max="15105" width="28.1328125" bestFit="1" customWidth="1"/>
    <col min="15106" max="15106" width="12.33203125" customWidth="1"/>
    <col min="15107" max="15107" width="15.1328125" bestFit="1" customWidth="1"/>
    <col min="15108" max="15109" width="11.6640625" customWidth="1"/>
    <col min="15110" max="15111" width="14.53125" customWidth="1"/>
    <col min="15112" max="15112" width="13.53125" customWidth="1"/>
    <col min="15113" max="15113" width="17.6640625" bestFit="1" customWidth="1"/>
    <col min="15361" max="15361" width="28.1328125" bestFit="1" customWidth="1"/>
    <col min="15362" max="15362" width="12.33203125" customWidth="1"/>
    <col min="15363" max="15363" width="15.1328125" bestFit="1" customWidth="1"/>
    <col min="15364" max="15365" width="11.6640625" customWidth="1"/>
    <col min="15366" max="15367" width="14.53125" customWidth="1"/>
    <col min="15368" max="15368" width="13.53125" customWidth="1"/>
    <col min="15369" max="15369" width="17.6640625" bestFit="1" customWidth="1"/>
    <col min="15617" max="15617" width="28.1328125" bestFit="1" customWidth="1"/>
    <col min="15618" max="15618" width="12.33203125" customWidth="1"/>
    <col min="15619" max="15619" width="15.1328125" bestFit="1" customWidth="1"/>
    <col min="15620" max="15621" width="11.6640625" customWidth="1"/>
    <col min="15622" max="15623" width="14.53125" customWidth="1"/>
    <col min="15624" max="15624" width="13.53125" customWidth="1"/>
    <col min="15625" max="15625" width="17.6640625" bestFit="1" customWidth="1"/>
    <col min="15873" max="15873" width="28.1328125" bestFit="1" customWidth="1"/>
    <col min="15874" max="15874" width="12.33203125" customWidth="1"/>
    <col min="15875" max="15875" width="15.1328125" bestFit="1" customWidth="1"/>
    <col min="15876" max="15877" width="11.6640625" customWidth="1"/>
    <col min="15878" max="15879" width="14.53125" customWidth="1"/>
    <col min="15880" max="15880" width="13.53125" customWidth="1"/>
    <col min="15881" max="15881" width="17.6640625" bestFit="1" customWidth="1"/>
    <col min="16129" max="16129" width="28.1328125" bestFit="1" customWidth="1"/>
    <col min="16130" max="16130" width="12.33203125" customWidth="1"/>
    <col min="16131" max="16131" width="15.1328125" bestFit="1" customWidth="1"/>
    <col min="16132" max="16133" width="11.6640625" customWidth="1"/>
    <col min="16134" max="16135" width="14.53125" customWidth="1"/>
    <col min="16136" max="16136" width="13.53125" customWidth="1"/>
    <col min="16137" max="16137" width="17.6640625" bestFit="1" customWidth="1"/>
  </cols>
  <sheetData>
    <row r="1" spans="1:10" ht="31.15" thickBot="1">
      <c r="A1" s="45"/>
      <c r="B1" s="45"/>
      <c r="C1" s="45"/>
      <c r="D1" s="45"/>
      <c r="E1" s="45"/>
      <c r="F1" s="45"/>
      <c r="G1" s="45"/>
      <c r="H1" s="45"/>
      <c r="I1" s="45"/>
    </row>
    <row r="2" spans="1:10" ht="21.4" thickBot="1">
      <c r="C2" s="435" t="s">
        <v>123</v>
      </c>
      <c r="D2" s="436"/>
      <c r="E2" s="436"/>
      <c r="F2" s="437"/>
      <c r="G2" s="24"/>
    </row>
    <row r="3" spans="1:10" ht="18.75" customHeight="1">
      <c r="A3" s="46"/>
      <c r="B3" s="46"/>
      <c r="C3" s="46"/>
      <c r="D3" s="46"/>
      <c r="E3" s="46"/>
      <c r="F3" s="46"/>
      <c r="G3" s="46"/>
      <c r="H3" s="46"/>
    </row>
    <row r="4" spans="1:10" ht="18">
      <c r="A4" s="21" t="s">
        <v>303</v>
      </c>
      <c r="C4" s="47" t="s">
        <v>69</v>
      </c>
      <c r="D4" s="128" t="str">
        <f>'Cover Sheet (T)'!C12</f>
        <v xml:space="preserve"> </v>
      </c>
      <c r="E4" s="24"/>
      <c r="F4" s="24"/>
      <c r="G4" s="24"/>
    </row>
    <row r="5" spans="1:10" ht="18">
      <c r="A5" s="325" t="str">
        <f>Control!B25</f>
        <v xml:space="preserve"> </v>
      </c>
      <c r="C5" s="2" t="s">
        <v>70</v>
      </c>
      <c r="D5" s="128" t="str">
        <f>'Cover Sheet (T)'!C24</f>
        <v xml:space="preserve"> </v>
      </c>
    </row>
    <row r="6" spans="1:10" ht="18">
      <c r="A6" s="325">
        <f>Control!B4</f>
        <v>0</v>
      </c>
      <c r="C6" s="47" t="s">
        <v>71</v>
      </c>
      <c r="D6" s="152">
        <f>Control!B3</f>
        <v>1</v>
      </c>
      <c r="E6" s="47"/>
      <c r="F6" s="47"/>
      <c r="G6" s="47"/>
    </row>
    <row r="7" spans="1:10" ht="18">
      <c r="A7" s="79" t="e">
        <f>IF(AND(B11-1&gt;Control!B4,B11+1&gt;Control!B4),"Check Claim Figure","")</f>
        <v>#VALUE!</v>
      </c>
      <c r="C7" s="47"/>
      <c r="D7" s="47"/>
      <c r="E7" s="47"/>
      <c r="F7" s="47"/>
      <c r="G7" s="47"/>
    </row>
    <row r="8" spans="1:10">
      <c r="A8" s="399" t="e">
        <f>D11*H11</f>
        <v>#VALUE!</v>
      </c>
      <c r="B8" s="125"/>
      <c r="C8" s="124" t="str">
        <f>Control!B22</f>
        <v>Training Grant</v>
      </c>
      <c r="D8" s="125"/>
      <c r="E8" s="125"/>
      <c r="F8" s="125"/>
      <c r="G8" s="125"/>
      <c r="H8" s="125"/>
    </row>
    <row r="9" spans="1:10" ht="14.65" thickBot="1">
      <c r="B9" s="398"/>
      <c r="C9" s="48"/>
      <c r="D9" s="24"/>
      <c r="E9" s="24"/>
      <c r="F9" s="24"/>
      <c r="G9" s="24"/>
    </row>
    <row r="10" spans="1:10" ht="15.75">
      <c r="A10" s="49"/>
      <c r="B10" s="50"/>
      <c r="C10" s="50"/>
      <c r="D10" s="50"/>
      <c r="E10" s="50"/>
      <c r="F10" s="50"/>
      <c r="G10" s="50"/>
      <c r="H10" s="51"/>
      <c r="I10" s="397" t="e">
        <f>IF(A8-1&gt;B11,"Claim Value Restricted","")</f>
        <v>#VALUE!</v>
      </c>
    </row>
    <row r="11" spans="1:10" ht="15.75">
      <c r="A11" s="52" t="s">
        <v>116</v>
      </c>
      <c r="B11" s="53" t="e">
        <f>IF(G28&gt;0,MIN(A5,H11*D11),MIN(A5,A6,H11*D11))</f>
        <v>#VALUE!</v>
      </c>
      <c r="C11" s="54" t="s">
        <v>72</v>
      </c>
      <c r="D11" s="121" t="str">
        <f>Control!B26</f>
        <v xml:space="preserve"> </v>
      </c>
      <c r="E11" s="438" t="s">
        <v>73</v>
      </c>
      <c r="F11" s="438"/>
      <c r="G11" s="438"/>
      <c r="H11" s="55">
        <f>H28</f>
        <v>0</v>
      </c>
      <c r="I11" s="420" t="e">
        <f>IF(A8-1&gt;B11,A8,"")</f>
        <v>#VALUE!</v>
      </c>
      <c r="J11" s="122"/>
    </row>
    <row r="12" spans="1:10" ht="14.65" thickBot="1">
      <c r="A12" s="56"/>
      <c r="B12" s="57"/>
      <c r="C12" s="57"/>
      <c r="D12" s="57"/>
      <c r="E12" s="57"/>
      <c r="F12" s="57"/>
      <c r="G12" s="57"/>
      <c r="H12" s="58"/>
    </row>
    <row r="13" spans="1:10" s="59" customFormat="1" ht="57.4" thickBot="1">
      <c r="A13" s="137" t="s">
        <v>74</v>
      </c>
      <c r="B13" s="132" t="s">
        <v>75</v>
      </c>
      <c r="C13" s="132" t="str">
        <f>CONCATENATE("Total Certified Claim ",Control!B3)</f>
        <v>Total Certified Claim 1</v>
      </c>
      <c r="D13" s="132" t="str">
        <f>CONCATENATE("Total Expenditure Disallowed Claim ",Control!B3)</f>
        <v>Total Expenditure Disallowed Claim 1</v>
      </c>
      <c r="E13" s="132" t="str">
        <f>CONCATENATE("Total Expenditure Deferred Claim ",Control!B3)</f>
        <v>Total Expenditure Deferred Claim 1</v>
      </c>
      <c r="F13" s="132" t="str">
        <f>CONCATENATE("Total Eligible Expenditure Claim ",Control!B3)</f>
        <v>Total Eligible Expenditure Claim 1</v>
      </c>
      <c r="G13" s="132" t="s">
        <v>76</v>
      </c>
      <c r="H13" s="132" t="s">
        <v>77</v>
      </c>
    </row>
    <row r="14" spans="1:10">
      <c r="A14" s="76" t="str">
        <f>Control!A30</f>
        <v>Trainee Personnel Costs</v>
      </c>
      <c r="B14" s="61">
        <f>Control!B30</f>
        <v>0</v>
      </c>
      <c r="C14" s="61">
        <f>Control!D30</f>
        <v>0</v>
      </c>
      <c r="D14" s="61">
        <v>0</v>
      </c>
      <c r="E14" s="61">
        <v>0</v>
      </c>
      <c r="F14" s="61">
        <f>(C14-D14-E14)</f>
        <v>0</v>
      </c>
      <c r="G14" s="61">
        <v>0</v>
      </c>
      <c r="H14" s="62">
        <f>F14+G14</f>
        <v>0</v>
      </c>
      <c r="I14" s="118" t="str">
        <f t="shared" ref="I14" si="0">IF(AND($D$6&lt;2,H14&gt;B14),"Category Exceeded by "&amp;TEXT(H14-B14,"#,##0"),"")</f>
        <v/>
      </c>
      <c r="J14" s="123" t="str">
        <f>'Summary '!I11</f>
        <v/>
      </c>
    </row>
    <row r="15" spans="1:10">
      <c r="A15" s="76"/>
      <c r="B15" s="61"/>
      <c r="C15" s="61"/>
      <c r="D15" s="61"/>
      <c r="E15" s="61"/>
      <c r="F15" s="61"/>
      <c r="G15" s="61"/>
      <c r="H15" s="62"/>
    </row>
    <row r="16" spans="1:10">
      <c r="A16" s="77" t="s">
        <v>78</v>
      </c>
      <c r="B16" s="64">
        <f>SUM(B14:B14)</f>
        <v>0</v>
      </c>
      <c r="C16" s="64">
        <f>SUM(C14:C14)</f>
        <v>0</v>
      </c>
      <c r="D16" s="64">
        <f>SUM(D14:D14)</f>
        <v>0</v>
      </c>
      <c r="E16" s="64">
        <f>SUM(E14:E14)</f>
        <v>0</v>
      </c>
      <c r="F16" s="64">
        <f>SUM(F14:F14)</f>
        <v>0</v>
      </c>
      <c r="G16" s="64">
        <f>SUM(G14:G14)</f>
        <v>0</v>
      </c>
      <c r="H16" s="65">
        <f>SUM(H14:H14)</f>
        <v>0</v>
      </c>
    </row>
    <row r="17" spans="1:10">
      <c r="A17" s="76"/>
      <c r="B17" s="61"/>
      <c r="C17" s="61"/>
      <c r="D17" s="61"/>
      <c r="E17" s="61"/>
      <c r="F17" s="61"/>
      <c r="G17" s="61"/>
      <c r="H17" s="62"/>
    </row>
    <row r="18" spans="1:10">
      <c r="A18" s="76" t="str">
        <f>Control!A31</f>
        <v>Internal Trainer Personnel Costs</v>
      </c>
      <c r="B18" s="61">
        <f>Control!B31</f>
        <v>0</v>
      </c>
      <c r="C18" s="61">
        <f>Control!D31</f>
        <v>0</v>
      </c>
      <c r="D18" s="61">
        <v>0</v>
      </c>
      <c r="E18" s="61">
        <v>0</v>
      </c>
      <c r="F18" s="61">
        <f>(C18-D18-E18)</f>
        <v>0</v>
      </c>
      <c r="G18" s="61">
        <v>0</v>
      </c>
      <c r="H18" s="62">
        <f>F18+G18</f>
        <v>0</v>
      </c>
      <c r="I18" s="118" t="str">
        <f t="shared" ref="I18:I19" si="1">IF(AND($D$6&lt;2,H18&gt;B18),"Category Exceeded by "&amp;TEXT(H18-B18,"#,##0"),"")</f>
        <v/>
      </c>
      <c r="J18" s="123" t="str">
        <f>'Summary '!I15</f>
        <v/>
      </c>
    </row>
    <row r="19" spans="1:10">
      <c r="A19" s="76" t="str">
        <f>Control!A32</f>
        <v>Travel &amp; Subsistence</v>
      </c>
      <c r="B19" s="61">
        <f>Control!B32</f>
        <v>0</v>
      </c>
      <c r="C19" s="61">
        <f>Control!D32</f>
        <v>0</v>
      </c>
      <c r="D19" s="61">
        <v>0</v>
      </c>
      <c r="E19" s="61">
        <v>0</v>
      </c>
      <c r="F19" s="61">
        <f t="shared" ref="F19:F24" si="2">(C19-D19-E19)</f>
        <v>0</v>
      </c>
      <c r="G19" s="61">
        <v>0</v>
      </c>
      <c r="H19" s="62">
        <f t="shared" ref="H19:H24" si="3">F19+G19</f>
        <v>0</v>
      </c>
      <c r="I19" s="118" t="str">
        <f t="shared" si="1"/>
        <v/>
      </c>
      <c r="J19" s="123" t="str">
        <f>'Summary '!I16</f>
        <v/>
      </c>
    </row>
    <row r="20" spans="1:10">
      <c r="A20" s="76" t="str">
        <f>Control!A33</f>
        <v>External Supplier Course Costs</v>
      </c>
      <c r="B20" s="61">
        <f>Control!B33</f>
        <v>0</v>
      </c>
      <c r="C20" s="61">
        <f>Control!D33</f>
        <v>0</v>
      </c>
      <c r="D20" s="61">
        <v>0</v>
      </c>
      <c r="E20" s="61">
        <v>0</v>
      </c>
      <c r="F20" s="61">
        <f t="shared" si="2"/>
        <v>0</v>
      </c>
      <c r="G20" s="61">
        <v>0</v>
      </c>
      <c r="H20" s="62">
        <f t="shared" si="3"/>
        <v>0</v>
      </c>
      <c r="I20" s="118" t="str">
        <f>IF(AND($D$6&lt;2,H20&gt;B20),"Category Exceeded by "&amp;TEXT(H20-B20,"#,##0"),"")</f>
        <v/>
      </c>
      <c r="J20" s="123" t="str">
        <f>'Summary '!I17</f>
        <v/>
      </c>
    </row>
    <row r="21" spans="1:10">
      <c r="A21" s="76" t="str">
        <f>Control!A34</f>
        <v>Materials</v>
      </c>
      <c r="B21" s="61">
        <f>Control!B34</f>
        <v>0</v>
      </c>
      <c r="C21" s="61">
        <f>Control!D34</f>
        <v>0</v>
      </c>
      <c r="D21" s="61">
        <v>0</v>
      </c>
      <c r="E21" s="61">
        <v>0</v>
      </c>
      <c r="F21" s="61">
        <f t="shared" si="2"/>
        <v>0</v>
      </c>
      <c r="G21" s="61">
        <v>0</v>
      </c>
      <c r="H21" s="62">
        <f t="shared" si="3"/>
        <v>0</v>
      </c>
      <c r="I21" s="118" t="str">
        <f t="shared" ref="I21:I24" si="4">IF(AND($D$6&lt;2,H21&gt;B21),"Category Exceeded by "&amp;TEXT(H21-B21,"#,##0"),"")</f>
        <v/>
      </c>
      <c r="J21" s="123" t="str">
        <f>'Summary '!I18</f>
        <v/>
      </c>
    </row>
    <row r="22" spans="1:10">
      <c r="A22" s="76" t="str">
        <f>Control!A35</f>
        <v>Training Advisory Service Costs</v>
      </c>
      <c r="B22" s="61">
        <f>Control!B35</f>
        <v>0</v>
      </c>
      <c r="C22" s="61">
        <f>Control!D35</f>
        <v>0</v>
      </c>
      <c r="D22" s="61">
        <v>0</v>
      </c>
      <c r="E22" s="61">
        <v>0</v>
      </c>
      <c r="F22" s="61">
        <f t="shared" si="2"/>
        <v>0</v>
      </c>
      <c r="G22" s="61">
        <v>0</v>
      </c>
      <c r="H22" s="62">
        <f t="shared" si="3"/>
        <v>0</v>
      </c>
      <c r="I22" s="118" t="str">
        <f t="shared" si="4"/>
        <v/>
      </c>
      <c r="J22" s="123" t="str">
        <f>'Summary '!I19</f>
        <v/>
      </c>
    </row>
    <row r="23" spans="1:10">
      <c r="A23" s="76">
        <f>Control!A36</f>
        <v>0</v>
      </c>
      <c r="B23" s="61">
        <f>Control!B36</f>
        <v>0</v>
      </c>
      <c r="C23" s="61">
        <f>Control!D36</f>
        <v>0</v>
      </c>
      <c r="D23" s="61">
        <v>0</v>
      </c>
      <c r="E23" s="61">
        <v>0</v>
      </c>
      <c r="F23" s="61">
        <f t="shared" si="2"/>
        <v>0</v>
      </c>
      <c r="G23" s="61">
        <v>0</v>
      </c>
      <c r="H23" s="62">
        <f t="shared" si="3"/>
        <v>0</v>
      </c>
      <c r="I23" s="118" t="str">
        <f t="shared" si="4"/>
        <v/>
      </c>
      <c r="J23" s="123" t="str">
        <f>'Summary '!I20</f>
        <v/>
      </c>
    </row>
    <row r="24" spans="1:10">
      <c r="A24" s="76">
        <f>Control!A37</f>
        <v>0</v>
      </c>
      <c r="B24" s="61">
        <f>Control!B37</f>
        <v>0</v>
      </c>
      <c r="C24" s="61">
        <f>Control!D37</f>
        <v>0</v>
      </c>
      <c r="D24" s="61">
        <v>0</v>
      </c>
      <c r="E24" s="61">
        <v>0</v>
      </c>
      <c r="F24" s="61">
        <f t="shared" si="2"/>
        <v>0</v>
      </c>
      <c r="G24" s="61">
        <v>0</v>
      </c>
      <c r="H24" s="62">
        <f t="shared" si="3"/>
        <v>0</v>
      </c>
      <c r="I24" s="118" t="str">
        <f t="shared" si="4"/>
        <v/>
      </c>
      <c r="J24" s="123" t="str">
        <f>'Summary '!I21</f>
        <v/>
      </c>
    </row>
    <row r="25" spans="1:10">
      <c r="A25" s="74"/>
      <c r="B25" s="61"/>
      <c r="C25" s="61"/>
      <c r="D25" s="61"/>
      <c r="E25" s="61"/>
      <c r="F25" s="61"/>
      <c r="G25" s="61"/>
      <c r="H25" s="62"/>
    </row>
    <row r="26" spans="1:10">
      <c r="A26" s="63" t="s">
        <v>79</v>
      </c>
      <c r="B26" s="64">
        <f>SUM(B18:B24)</f>
        <v>0</v>
      </c>
      <c r="C26" s="64">
        <f>SUM(C18:C24)</f>
        <v>0</v>
      </c>
      <c r="D26" s="64">
        <f>SUM(D18:D24)</f>
        <v>0</v>
      </c>
      <c r="E26" s="64">
        <f>SUM(E18:E24)</f>
        <v>0</v>
      </c>
      <c r="F26" s="64">
        <f>SUM(F18:F24)</f>
        <v>0</v>
      </c>
      <c r="G26" s="64">
        <f>SUM(G18:G24)</f>
        <v>0</v>
      </c>
      <c r="H26" s="65">
        <f>SUM(H18:H24)</f>
        <v>0</v>
      </c>
      <c r="J26" s="123"/>
    </row>
    <row r="27" spans="1:10">
      <c r="A27" s="60"/>
      <c r="B27" s="61"/>
      <c r="C27" s="61"/>
      <c r="D27" s="61"/>
      <c r="E27" s="61"/>
      <c r="F27" s="61"/>
      <c r="G27" s="61"/>
      <c r="H27" s="62"/>
    </row>
    <row r="28" spans="1:10">
      <c r="A28" s="60" t="s">
        <v>80</v>
      </c>
      <c r="B28" s="61">
        <f>B16+B26</f>
        <v>0</v>
      </c>
      <c r="C28" s="61">
        <f>C16+C26</f>
        <v>0</v>
      </c>
      <c r="D28" s="61">
        <f>D16+D26</f>
        <v>0</v>
      </c>
      <c r="E28" s="61">
        <f>E16+E26</f>
        <v>0</v>
      </c>
      <c r="F28" s="61">
        <f>F16+F26</f>
        <v>0</v>
      </c>
      <c r="G28" s="61">
        <f>G16+G26</f>
        <v>0</v>
      </c>
      <c r="H28" s="62">
        <f>H16+H26</f>
        <v>0</v>
      </c>
      <c r="I28" s="118" t="str">
        <f>IF(AND($D$6&lt;2,H28&gt;B28),"Categories Exceeded by "&amp;TEXT(H28-B28,"#,##0"),"")</f>
        <v/>
      </c>
      <c r="J28" s="123" t="str">
        <f>'Summary '!I25</f>
        <v/>
      </c>
    </row>
    <row r="29" spans="1:10" ht="14.65" thickBot="1">
      <c r="A29" s="66"/>
      <c r="B29" s="67"/>
      <c r="C29" s="67"/>
      <c r="D29" s="67"/>
      <c r="E29" s="67"/>
      <c r="F29" s="67"/>
      <c r="G29" s="67"/>
      <c r="H29" s="68"/>
    </row>
    <row r="30" spans="1:10">
      <c r="A30" s="54"/>
      <c r="B30" s="54"/>
      <c r="C30" s="54"/>
      <c r="D30" s="54"/>
      <c r="E30" s="54"/>
      <c r="F30" s="54"/>
      <c r="G30" s="54"/>
      <c r="H30" s="54"/>
    </row>
    <row r="32" spans="1:10">
      <c r="A32" s="230" t="str">
        <f>IF(Control!B22="Business Asset Grant","Comments","")</f>
        <v/>
      </c>
    </row>
    <row r="33" spans="1:1">
      <c r="A33" s="231"/>
    </row>
    <row r="34" spans="1:1">
      <c r="A34" s="169" t="str">
        <f>IF(Control!B22="Business Asset Grant",CONCATENATE("Paragraph 16 of the grant agreement:  The company must maintain ",Control!B45," jobs."),"")</f>
        <v/>
      </c>
    </row>
    <row r="35" spans="1:1">
      <c r="A35" s="231"/>
    </row>
    <row r="36" spans="1:1">
      <c r="A36" s="243" t="str">
        <f>IF(Control!B22="Business Asset Grant",CONCATENATE("I can confirm there are ",Control!D45," employees on the ",TEXT(Control!B54-30,"mmmm yyy")," payroll."),"")</f>
        <v/>
      </c>
    </row>
  </sheetData>
  <mergeCells count="2">
    <mergeCell ref="C2:F2"/>
    <mergeCell ref="E11:G11"/>
  </mergeCells>
  <conditionalFormatting sqref="J14:J28">
    <cfRule type="expression" dxfId="74" priority="7">
      <formula>$D$6&lt;=1</formula>
    </cfRule>
    <cfRule type="expression" dxfId="73" priority="8">
      <formula>"$D$7=&lt;1"</formula>
    </cfRule>
  </conditionalFormatting>
  <pageMargins left="0.70866141732283472" right="0.70866141732283472" top="0.74803149606299213" bottom="0.74803149606299213" header="0.31496062992125984" footer="0.31496062992125984"/>
  <pageSetup paperSize="9" scale="48" orientation="portrait" r:id="rId1"/>
  <headerFooter>
    <oddHeader>&amp;CValidation Report</oddHeader>
  </headerFooter>
  <ignoredErrors>
    <ignoredError sqref="J14 J15:J18 J19:J28" evalError="1"/>
    <ignoredError sqref="I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6"/>
  <sheetViews>
    <sheetView topLeftCell="A2" zoomScaleNormal="100" workbookViewId="0">
      <selection activeCell="A16" sqref="A16"/>
    </sheetView>
  </sheetViews>
  <sheetFormatPr defaultRowHeight="14.25"/>
  <cols>
    <col min="1" max="1" width="29.33203125" customWidth="1"/>
    <col min="2" max="2" width="12.53125" customWidth="1"/>
    <col min="3" max="3" width="15.6640625" bestFit="1" customWidth="1"/>
    <col min="4" max="5" width="12" customWidth="1"/>
    <col min="6" max="6" width="12.53125" customWidth="1"/>
    <col min="7" max="7" width="28" bestFit="1" customWidth="1"/>
    <col min="8" max="8" width="8.46484375" style="18" bestFit="1" customWidth="1"/>
  </cols>
  <sheetData>
    <row r="1" spans="1:9" ht="32.25" customHeight="1" thickBot="1"/>
    <row r="2" spans="1:9" ht="21.4" thickBot="1">
      <c r="C2" s="435" t="s">
        <v>124</v>
      </c>
      <c r="D2" s="436"/>
      <c r="E2" s="436"/>
      <c r="F2" s="437"/>
    </row>
    <row r="3" spans="1:9" ht="18">
      <c r="A3" s="126"/>
      <c r="B3" s="126"/>
      <c r="C3" s="126"/>
      <c r="D3" s="126"/>
      <c r="E3" s="126"/>
      <c r="F3" s="126"/>
    </row>
    <row r="4" spans="1:9" ht="18">
      <c r="A4" s="127"/>
      <c r="B4" s="127"/>
      <c r="C4" s="47" t="s">
        <v>69</v>
      </c>
      <c r="D4" s="128" t="str">
        <f>'Cover Sheet (T)'!C12</f>
        <v xml:space="preserve"> </v>
      </c>
      <c r="E4" s="127"/>
      <c r="F4" s="127"/>
    </row>
    <row r="5" spans="1:9" ht="18">
      <c r="A5" s="127"/>
      <c r="B5" s="127"/>
      <c r="C5" s="2" t="s">
        <v>70</v>
      </c>
      <c r="D5" s="128" t="str">
        <f>'Cover Sheet (T)'!C24</f>
        <v xml:space="preserve"> </v>
      </c>
      <c r="E5" s="127"/>
      <c r="F5" s="127"/>
    </row>
    <row r="6" spans="1:9" ht="18">
      <c r="A6" s="127"/>
      <c r="B6" s="127"/>
      <c r="C6" s="47" t="s">
        <v>71</v>
      </c>
      <c r="D6" s="152">
        <f>Control!B3</f>
        <v>1</v>
      </c>
      <c r="E6" s="127"/>
      <c r="F6" s="127"/>
    </row>
    <row r="7" spans="1:9" ht="18">
      <c r="A7" s="127"/>
      <c r="B7" s="127"/>
      <c r="C7" s="47"/>
      <c r="D7" s="73"/>
      <c r="E7" s="127"/>
      <c r="F7" s="127"/>
    </row>
    <row r="8" spans="1:9">
      <c r="A8" s="124"/>
      <c r="B8" s="124"/>
      <c r="C8" s="124" t="str">
        <f>'Current Claim'!C8</f>
        <v>Training Grant</v>
      </c>
      <c r="D8" s="124"/>
      <c r="E8" s="124"/>
      <c r="F8" s="124"/>
    </row>
    <row r="9" spans="1:9" ht="14.65" thickBot="1"/>
    <row r="10" spans="1:9" ht="43.15" thickBot="1">
      <c r="A10" s="137" t="s">
        <v>74</v>
      </c>
      <c r="B10" s="132" t="s">
        <v>75</v>
      </c>
      <c r="C10" s="132" t="str">
        <f>IF(Control!$B$3&gt;2,CONCATENATE("Total Amount Certified         Claims 1 - ",Control!$B$3-1),"Total Amount Certified Claim 1")</f>
        <v>Total Amount Certified Claim 1</v>
      </c>
      <c r="D10" s="132" t="str">
        <f>IF(Control!$B$3&gt;2,CONCATENATE("Total Amount Approved Claims 1 - ",Control!$B$3-1),"Total Amount Approved Claim 1")</f>
        <v>Total Amount Approved Claim 1</v>
      </c>
      <c r="E10" s="132" t="str">
        <f>IF(Control!$B$3&gt;2,CONCATENATE("Total Amount Disallowed Claims 1 - ",Control!$B$3-1),"Total Amount Disallowed Claim 1")</f>
        <v>Total Amount Disallowed Claim 1</v>
      </c>
      <c r="F10" s="132" t="str">
        <f>IF(Control!$B$3&gt;2,CONCATENATE("Total Amount Deferred Claims 1 - ",Control!$B$3-1),"Total Amount Deferred Claim 1")</f>
        <v>Total Amount Deferred Claim 1</v>
      </c>
    </row>
    <row r="11" spans="1:9">
      <c r="A11" s="76" t="str">
        <f>'Current Claim'!A14</f>
        <v>Trainee Personnel Costs</v>
      </c>
      <c r="B11" s="61">
        <f>'Current Claim'!B14</f>
        <v>0</v>
      </c>
      <c r="C11" s="61">
        <f>IF(Control!$B$3&gt;1,Control!F30,Control!D30)</f>
        <v>0</v>
      </c>
      <c r="D11" s="61">
        <f>MAX(0,C11-E11-F11)</f>
        <v>0</v>
      </c>
      <c r="E11" s="61">
        <f>IF(Control!$B$3&gt;1,Control!H30,'Current Claim'!D14)</f>
        <v>0</v>
      </c>
      <c r="F11" s="61">
        <f>IF(Control!$B$3&gt;1,Control!I30,'Current Claim'!E14)</f>
        <v>0</v>
      </c>
      <c r="G11" s="116" t="str">
        <f>IF(D11&gt;B11,"Category Exceeded by "&amp;TEXT(D11-B11,"#,##0"),"")</f>
        <v/>
      </c>
      <c r="H11" s="328" t="str">
        <f>IF(AND('Current Claim'!$D$6&gt;1,'Current Claim'!H14+D11&gt;B11),"Category Exceeded by "&amp;TEXT('Current Claim'!H14+D11-B11,"#,##0"),"")</f>
        <v/>
      </c>
    </row>
    <row r="12" spans="1:9">
      <c r="A12" s="76"/>
      <c r="B12" s="61"/>
      <c r="C12" s="61"/>
      <c r="D12" s="61"/>
      <c r="E12" s="61"/>
      <c r="F12" s="78"/>
      <c r="G12" s="116"/>
      <c r="H12" s="328"/>
    </row>
    <row r="13" spans="1:9">
      <c r="A13" s="77" t="s">
        <v>78</v>
      </c>
      <c r="B13" s="64">
        <f>SUM(B11:B12)</f>
        <v>0</v>
      </c>
      <c r="C13" s="64">
        <f>SUM(C11:C11)</f>
        <v>0</v>
      </c>
      <c r="D13" s="64">
        <f>SUM(D11:D11)</f>
        <v>0</v>
      </c>
      <c r="E13" s="64">
        <f>SUM(E11:E11)</f>
        <v>0</v>
      </c>
      <c r="F13" s="64">
        <f>SUM(F11:F11)</f>
        <v>0</v>
      </c>
      <c r="G13" s="116"/>
      <c r="H13" s="328"/>
    </row>
    <row r="14" spans="1:9">
      <c r="A14" s="76"/>
      <c r="B14" s="61"/>
      <c r="C14" s="61"/>
      <c r="D14" s="61"/>
      <c r="E14" s="61"/>
      <c r="F14" s="61"/>
      <c r="G14" s="116"/>
      <c r="H14" s="328"/>
    </row>
    <row r="15" spans="1:9">
      <c r="A15" s="76" t="str">
        <f>'Current Claim'!A18</f>
        <v>Internal Trainer Personnel Costs</v>
      </c>
      <c r="B15" s="61">
        <f>'Current Claim'!B18</f>
        <v>0</v>
      </c>
      <c r="C15" s="61">
        <f>IF(Control!$B$3&gt;1,Control!F31,Control!D31)</f>
        <v>0</v>
      </c>
      <c r="D15" s="61">
        <f>MAX(0,C15-E15-F15)</f>
        <v>0</v>
      </c>
      <c r="E15" s="61">
        <f>IF(Control!$B$3&gt;1,Control!H31,'Current Claim'!D18)</f>
        <v>0</v>
      </c>
      <c r="F15" s="61">
        <f>IF(Control!$B$3&gt;1,Control!I31,'Current Claim'!E18)</f>
        <v>0</v>
      </c>
      <c r="G15" s="116" t="str">
        <f>IF(D15&gt;B15,"Category Exceeded by "&amp;TEXT(D15-B15,"#,##0"),"")</f>
        <v/>
      </c>
      <c r="H15" s="328" t="str">
        <f>IF(AND('Current Claim'!$D$6&gt;1,'Current Claim'!H18+D15&gt;B15),"Category Exceeded by "&amp;TEXT('Current Claim'!H18+D15-B15,"#,##0"),"")</f>
        <v/>
      </c>
      <c r="I15" s="54"/>
    </row>
    <row r="16" spans="1:9">
      <c r="A16" s="76" t="str">
        <f>'Current Claim'!A19</f>
        <v>Travel &amp; Subsistence</v>
      </c>
      <c r="B16" s="61">
        <f>'Current Claim'!B19</f>
        <v>0</v>
      </c>
      <c r="C16" s="61">
        <f>IF(Control!$B$3&gt;1,Control!F32,Control!D32)</f>
        <v>0</v>
      </c>
      <c r="D16" s="61">
        <f t="shared" ref="D16:D21" si="0">MAX(0,C16-E16-F16)</f>
        <v>0</v>
      </c>
      <c r="E16" s="61">
        <f>IF(Control!$B$3&gt;1,Control!H32,'Current Claim'!D19)</f>
        <v>0</v>
      </c>
      <c r="F16" s="61">
        <f>IF(Control!$B$3&gt;1,Control!I32,'Current Claim'!E19)</f>
        <v>0</v>
      </c>
      <c r="G16" s="116" t="str">
        <f t="shared" ref="G16:G21" si="1">IF(D16&gt;B16,"Category Exceeded by "&amp;TEXT(D16-B16,"#,##0"),"")</f>
        <v/>
      </c>
      <c r="H16" s="328" t="str">
        <f>IF(AND('Current Claim'!$D$6&gt;1,'Current Claim'!H19+D16&gt;B16),"Category Exceeded by "&amp;TEXT('Current Claim'!H19+D16-B16,"#,##0"),"")</f>
        <v/>
      </c>
      <c r="I16" s="54"/>
    </row>
    <row r="17" spans="1:9">
      <c r="A17" s="76" t="str">
        <f>'Current Claim'!A20</f>
        <v>External Supplier Course Costs</v>
      </c>
      <c r="B17" s="61">
        <f>'Current Claim'!B20</f>
        <v>0</v>
      </c>
      <c r="C17" s="61">
        <f>IF(Control!$B$3&gt;1,Control!F33,Control!D33)</f>
        <v>0</v>
      </c>
      <c r="D17" s="61">
        <f t="shared" si="0"/>
        <v>0</v>
      </c>
      <c r="E17" s="61">
        <f>IF(Control!$B$3&gt;1,Control!H33,'Current Claim'!D20)</f>
        <v>0</v>
      </c>
      <c r="F17" s="61">
        <f>IF(Control!$B$3&gt;1,Control!I33,'Current Claim'!E20)</f>
        <v>0</v>
      </c>
      <c r="G17" s="118" t="str">
        <f>IF(D17&gt;B17,"Category Exceeded by "&amp;TEXT(D17-B17,"#,##0"),"")</f>
        <v/>
      </c>
      <c r="H17" s="328" t="str">
        <f>IF(AND('Current Claim'!$D$6&gt;1,'Current Claim'!H20+D17&gt;B17),"Category Exceeded by "&amp;TEXT('Current Claim'!H20+D17-B17,"#,##0"),"")</f>
        <v/>
      </c>
      <c r="I17" s="54"/>
    </row>
    <row r="18" spans="1:9">
      <c r="A18" s="76" t="str">
        <f>'Current Claim'!A21</f>
        <v>Materials</v>
      </c>
      <c r="B18" s="61">
        <f>'Current Claim'!B21</f>
        <v>0</v>
      </c>
      <c r="C18" s="61">
        <f>IF(Control!$B$3&gt;1,Control!F34,Control!D34)</f>
        <v>0</v>
      </c>
      <c r="D18" s="61">
        <f t="shared" si="0"/>
        <v>0</v>
      </c>
      <c r="E18" s="61">
        <f>IF(Control!$B$3&gt;1,Control!H34,'Current Claim'!D21)</f>
        <v>0</v>
      </c>
      <c r="F18" s="61">
        <f>IF(Control!$B$3&gt;1,Control!I34,'Current Claim'!E21)</f>
        <v>0</v>
      </c>
      <c r="G18" s="116" t="str">
        <f t="shared" si="1"/>
        <v/>
      </c>
      <c r="H18" s="328" t="str">
        <f>IF(AND('Current Claim'!$D$6&gt;1,'Current Claim'!H21+D18&gt;B18),"Category Exceeded by "&amp;TEXT('Current Claim'!H21+D18-B18,"#,##0"),"")</f>
        <v/>
      </c>
      <c r="I18" s="54"/>
    </row>
    <row r="19" spans="1:9">
      <c r="A19" s="76" t="str">
        <f>'Current Claim'!A22</f>
        <v>Training Advisory Service Costs</v>
      </c>
      <c r="B19" s="61">
        <f>'Current Claim'!B22</f>
        <v>0</v>
      </c>
      <c r="C19" s="61">
        <f>IF(Control!$B$3&gt;1,Control!F35,Control!D35)</f>
        <v>0</v>
      </c>
      <c r="D19" s="61">
        <f t="shared" si="0"/>
        <v>0</v>
      </c>
      <c r="E19" s="61">
        <f>IF(Control!$B$3&gt;1,Control!H35,'Current Claim'!D22)</f>
        <v>0</v>
      </c>
      <c r="F19" s="61">
        <f>IF(Control!$B$3&gt;1,Control!I35,'Current Claim'!E22)</f>
        <v>0</v>
      </c>
      <c r="G19" s="116" t="str">
        <f t="shared" si="1"/>
        <v/>
      </c>
      <c r="H19" s="328" t="str">
        <f>IF(AND('Current Claim'!$D$6&gt;1,'Current Claim'!H22+D19&gt;B19),"Category Exceeded by "&amp;TEXT('Current Claim'!H22+D19-B19,"#,##0"),"")</f>
        <v/>
      </c>
      <c r="I19" s="54"/>
    </row>
    <row r="20" spans="1:9">
      <c r="A20" s="76">
        <f>'Current Claim'!A23</f>
        <v>0</v>
      </c>
      <c r="B20" s="61">
        <f>'Current Claim'!B23</f>
        <v>0</v>
      </c>
      <c r="C20" s="61">
        <f>IF(Control!$B$3&gt;1,Control!F36,Control!D36)</f>
        <v>0</v>
      </c>
      <c r="D20" s="61">
        <f t="shared" si="0"/>
        <v>0</v>
      </c>
      <c r="E20" s="61">
        <f>IF(Control!$B$3&gt;1,Control!H36,'Current Claim'!D23)</f>
        <v>0</v>
      </c>
      <c r="F20" s="61">
        <f>IF(Control!$B$3&gt;1,Control!I36,'Current Claim'!E23)</f>
        <v>0</v>
      </c>
      <c r="G20" s="116" t="str">
        <f t="shared" si="1"/>
        <v/>
      </c>
      <c r="H20" s="328" t="str">
        <f>IF(AND('Current Claim'!$D$6&gt;1,'Current Claim'!H23+D20&gt;B20),"Category Exceeded by "&amp;TEXT('Current Claim'!H23+D20-B20,"#,##0"),"")</f>
        <v/>
      </c>
      <c r="I20" s="54"/>
    </row>
    <row r="21" spans="1:9">
      <c r="A21" s="76">
        <f>'Current Claim'!A24</f>
        <v>0</v>
      </c>
      <c r="B21" s="61">
        <f>'Current Claim'!B24</f>
        <v>0</v>
      </c>
      <c r="C21" s="61">
        <f>IF(Control!$B$3&gt;1,Control!F37,Control!D37)</f>
        <v>0</v>
      </c>
      <c r="D21" s="61">
        <f t="shared" si="0"/>
        <v>0</v>
      </c>
      <c r="E21" s="61">
        <f>IF(Control!$B$3&gt;1,Control!H37,'Current Claim'!D24)</f>
        <v>0</v>
      </c>
      <c r="F21" s="61">
        <f>IF(Control!$B$3&gt;1,Control!I37,'Current Claim'!E24)</f>
        <v>0</v>
      </c>
      <c r="G21" s="116" t="str">
        <f t="shared" si="1"/>
        <v/>
      </c>
      <c r="H21" s="328" t="str">
        <f>IF(AND('Current Claim'!$D$6&gt;1,'Current Claim'!H24+D21&gt;B21),"Category Exceeded by "&amp;TEXT('Current Claim'!H24+D21-B21,"#,##0"),"")</f>
        <v/>
      </c>
      <c r="I21" s="54"/>
    </row>
    <row r="22" spans="1:9">
      <c r="A22" s="60" t="s">
        <v>35</v>
      </c>
      <c r="B22" s="61" t="s">
        <v>35</v>
      </c>
      <c r="C22" s="61" t="s">
        <v>35</v>
      </c>
      <c r="D22" s="61"/>
      <c r="E22" s="61"/>
      <c r="F22" s="61"/>
      <c r="G22" s="116"/>
      <c r="I22" s="54"/>
    </row>
    <row r="23" spans="1:9">
      <c r="A23" s="63" t="s">
        <v>79</v>
      </c>
      <c r="B23" s="64">
        <f>SUM(B15:B22)</f>
        <v>0</v>
      </c>
      <c r="C23" s="64">
        <f>SUM(C15:C22)</f>
        <v>0</v>
      </c>
      <c r="D23" s="64">
        <f>SUM(D15:D22)</f>
        <v>0</v>
      </c>
      <c r="E23" s="64">
        <f>SUM(E15:E22)</f>
        <v>0</v>
      </c>
      <c r="F23" s="64">
        <f>SUM(F15:F22)</f>
        <v>0</v>
      </c>
      <c r="G23" s="116"/>
      <c r="I23" s="54"/>
    </row>
    <row r="24" spans="1:9">
      <c r="A24" s="60"/>
      <c r="B24" s="61"/>
      <c r="C24" s="61"/>
      <c r="D24" s="61"/>
      <c r="E24" s="61"/>
      <c r="F24" s="61"/>
      <c r="G24" s="116"/>
    </row>
    <row r="25" spans="1:9">
      <c r="A25" s="60" t="s">
        <v>80</v>
      </c>
      <c r="B25" s="61">
        <f>B13+B23</f>
        <v>0</v>
      </c>
      <c r="C25" s="61">
        <f>C13+C23</f>
        <v>0</v>
      </c>
      <c r="D25" s="61">
        <f>D13+D23</f>
        <v>0</v>
      </c>
      <c r="E25" s="61">
        <f>E13+E23</f>
        <v>0</v>
      </c>
      <c r="F25" s="61">
        <f>F13+F23</f>
        <v>0</v>
      </c>
      <c r="G25" s="116" t="str">
        <f t="shared" ref="G25" si="2">IF(D25&gt;B25,"Category Exceeded by "&amp;TEXT(D25-B25,"#,##0"),"")</f>
        <v/>
      </c>
      <c r="H25" s="328" t="str">
        <f>IF(AND('Current Claim'!$D$6&gt;1,'Current Claim'!H28+D25&gt;B25),"Categories Exceeded by "&amp;TEXT('Current Claim'!H28+D25-B25,"#,##0"),"")</f>
        <v/>
      </c>
    </row>
    <row r="26" spans="1:9" ht="14.65" thickBot="1">
      <c r="A26" s="66"/>
      <c r="B26" s="69"/>
      <c r="C26" s="69" t="s">
        <v>35</v>
      </c>
      <c r="D26" s="69"/>
      <c r="E26" s="69"/>
      <c r="F26" s="69"/>
      <c r="G26" s="116"/>
    </row>
  </sheetData>
  <mergeCells count="1">
    <mergeCell ref="C2:F2"/>
  </mergeCells>
  <pageMargins left="0.7" right="0.44" top="0.75" bottom="0.75" header="0.3" footer="0.3"/>
  <pageSetup paperSize="9" scale="86" orientation="landscape" r:id="rId1"/>
  <headerFooter>
    <oddHeader>&amp;CTraining Grant Summary</oddHeader>
  </headerFooter>
  <extLst>
    <ext xmlns:x14="http://schemas.microsoft.com/office/spreadsheetml/2009/9/main" uri="{78C0D931-6437-407d-A8EE-F0AAD7539E65}">
      <x14:conditionalFormattings>
        <x14:conditionalFormatting xmlns:xm="http://schemas.microsoft.com/office/excel/2006/main">
          <x14:cfRule type="expression" priority="4" id="{1AEF623B-801D-49E7-B6F7-08CAB289585A}">
            <xm:f>Control!$B$3&lt;=1</xm:f>
            <x14:dxf>
              <font>
                <color theme="0"/>
              </font>
            </x14:dxf>
          </x14:cfRule>
          <xm:sqref>H11:H21</xm:sqref>
        </x14:conditionalFormatting>
        <x14:conditionalFormatting xmlns:xm="http://schemas.microsoft.com/office/excel/2006/main">
          <x14:cfRule type="expression" priority="1" id="{B670AD65-C4D2-4CD0-8C4D-8FF6733E5D23}">
            <xm:f>Control!$B$3&lt;=1</xm:f>
            <x14:dxf>
              <font>
                <color theme="0"/>
              </font>
            </x14:dxf>
          </x14:cfRule>
          <xm:sqref>H25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0"/>
  <sheetViews>
    <sheetView zoomScaleNormal="100" workbookViewId="0">
      <selection activeCell="A16" sqref="A16"/>
    </sheetView>
  </sheetViews>
  <sheetFormatPr defaultRowHeight="14.25"/>
  <cols>
    <col min="1" max="1" width="30.53125" customWidth="1"/>
    <col min="2" max="2" width="12.53125" customWidth="1"/>
    <col min="3" max="3" width="15.33203125" customWidth="1"/>
    <col min="4" max="6" width="12.53125" customWidth="1"/>
    <col min="7" max="7" width="6.33203125" customWidth="1"/>
    <col min="8" max="8" width="12.53125" customWidth="1"/>
    <col min="9" max="9" width="34.1328125" style="113" customWidth="1"/>
  </cols>
  <sheetData>
    <row r="1" spans="1:10" ht="32.25" customHeight="1" thickBot="1">
      <c r="G1" s="138"/>
    </row>
    <row r="2" spans="1:10" ht="21.4" thickBot="1">
      <c r="C2" s="435" t="s">
        <v>125</v>
      </c>
      <c r="D2" s="436"/>
      <c r="E2" s="436"/>
      <c r="F2" s="437"/>
      <c r="G2" s="139"/>
    </row>
    <row r="3" spans="1:10" ht="18">
      <c r="A3" s="129"/>
      <c r="B3" s="129"/>
      <c r="C3" s="129"/>
      <c r="D3" s="129"/>
      <c r="E3" s="129"/>
      <c r="F3" s="129"/>
      <c r="G3" s="140"/>
    </row>
    <row r="4" spans="1:10" ht="18">
      <c r="A4" s="130"/>
      <c r="B4" s="130"/>
      <c r="C4" s="47" t="s">
        <v>69</v>
      </c>
      <c r="D4" s="128" t="str">
        <f>'Cover Sheet (T)'!C12</f>
        <v xml:space="preserve"> </v>
      </c>
      <c r="E4" s="130"/>
      <c r="F4" s="130"/>
      <c r="G4" s="141"/>
    </row>
    <row r="5" spans="1:10" ht="18">
      <c r="A5" s="131"/>
      <c r="B5" s="131"/>
      <c r="C5" s="2" t="s">
        <v>70</v>
      </c>
      <c r="D5" s="128" t="str">
        <f>'Cover Sheet (T)'!C24</f>
        <v xml:space="preserve"> </v>
      </c>
      <c r="E5" s="131"/>
      <c r="F5" s="131"/>
      <c r="G5" s="142"/>
    </row>
    <row r="6" spans="1:10" ht="18">
      <c r="A6" s="131"/>
      <c r="B6" s="131"/>
      <c r="C6" s="47" t="s">
        <v>71</v>
      </c>
      <c r="D6" s="152">
        <f>Control!B3</f>
        <v>1</v>
      </c>
      <c r="E6" s="131"/>
      <c r="F6" s="131"/>
      <c r="G6" s="142"/>
    </row>
    <row r="7" spans="1:10">
      <c r="A7" s="131"/>
      <c r="B7" s="131"/>
      <c r="C7" s="47"/>
      <c r="D7" s="73"/>
      <c r="E7" s="131"/>
      <c r="F7" s="131"/>
      <c r="G7" s="142"/>
    </row>
    <row r="8" spans="1:10">
      <c r="A8" s="131"/>
      <c r="B8" s="131"/>
      <c r="C8" s="124" t="str">
        <f>'Current Claim'!C8</f>
        <v>Training Grant</v>
      </c>
      <c r="D8" s="131"/>
      <c r="E8" s="131"/>
      <c r="F8" s="131"/>
      <c r="G8" s="142"/>
    </row>
    <row r="9" spans="1:10" ht="14.65" thickBot="1">
      <c r="G9" s="138"/>
    </row>
    <row r="10" spans="1:10" ht="43.15" thickBot="1">
      <c r="A10" s="137" t="s">
        <v>74</v>
      </c>
      <c r="B10" s="132" t="s">
        <v>75</v>
      </c>
      <c r="C10" s="132" t="str">
        <f>IF(Control!$B$3&gt;1,CONCATENATE("Total Amount Certified        Claims 1 - ",Control!$B$3),"Total Amount Certified Claim 1")</f>
        <v>Total Amount Certified Claim 1</v>
      </c>
      <c r="D10" s="132" t="str">
        <f>IF(Control!$B$3&gt;1,CONCATENATE("Total Amount Approved Claims 1 - ",Control!$B$3),"Total Amount Approved Claim 1")</f>
        <v>Total Amount Approved Claim 1</v>
      </c>
      <c r="E10" s="132" t="str">
        <f>IF(Control!$B$3&gt;1,CONCATENATE("Total Amount Disallowed Claims 1 - ",Control!$B$3),"Total Amount Disallowed Claim 1")</f>
        <v>Total Amount Disallowed Claim 1</v>
      </c>
      <c r="F10" s="132" t="str">
        <f>IF(Control!$B$3&gt;1,CONCATENATE("Total Amount Deferred Claims 1 - ",Control!$B$3),"Total Amount Deferred Claim 1")</f>
        <v>Total Amount Deferred Claim 1</v>
      </c>
      <c r="G10" s="143"/>
      <c r="H10" s="147" t="s">
        <v>126</v>
      </c>
    </row>
    <row r="11" spans="1:10">
      <c r="A11" s="76" t="str">
        <f>'Current Claim'!A14</f>
        <v>Trainee Personnel Costs</v>
      </c>
      <c r="B11" s="61">
        <f>'Current Claim'!B14</f>
        <v>0</v>
      </c>
      <c r="C11" s="61">
        <f>IF(Control!$B$3&gt;1,ROUND(SUM(Control!F30+Control!D30),0),Control!D30)</f>
        <v>0</v>
      </c>
      <c r="D11" s="61">
        <f>C11-E11-F11</f>
        <v>0</v>
      </c>
      <c r="E11" s="134">
        <f>IF($D$6&gt;1,'Claim History'!E11+'Current Claim'!D14,'Current Claim'!D14)</f>
        <v>0</v>
      </c>
      <c r="F11" s="153">
        <f>IF($D$6&gt;1,'Claim History'!F11+'Current Claim'!E14-'Current Claim'!G14,'Current Claim'!E14)</f>
        <v>0</v>
      </c>
      <c r="G11" s="144"/>
      <c r="H11" s="149">
        <f>B11-D11</f>
        <v>0</v>
      </c>
      <c r="I11" s="145" t="str">
        <f>IF(D11&gt;B11,"Category Exceeded by "&amp;TEXT(D11-B11,"#,##0"),"")</f>
        <v/>
      </c>
      <c r="J11" s="146"/>
    </row>
    <row r="12" spans="1:10" ht="14.65" thickBot="1">
      <c r="A12" s="76"/>
      <c r="B12" s="61"/>
      <c r="C12" s="61"/>
      <c r="D12" s="61"/>
      <c r="E12" s="78"/>
      <c r="F12" s="154"/>
      <c r="G12" s="144"/>
      <c r="H12" s="150"/>
      <c r="I12" s="145"/>
      <c r="J12" s="146"/>
    </row>
    <row r="13" spans="1:10" ht="14.65" thickBot="1">
      <c r="A13" s="77" t="s">
        <v>78</v>
      </c>
      <c r="B13" s="64">
        <f>SUM(B11:B12)</f>
        <v>0</v>
      </c>
      <c r="C13" s="64">
        <f>SUM(C11:C11)</f>
        <v>0</v>
      </c>
      <c r="D13" s="64">
        <f>SUM(D11:D11)</f>
        <v>0</v>
      </c>
      <c r="E13" s="64">
        <f>SUM(E11:E11)</f>
        <v>0</v>
      </c>
      <c r="F13" s="64">
        <f>SUM(F11:F11)</f>
        <v>0</v>
      </c>
      <c r="G13" s="144"/>
      <c r="H13" s="156">
        <f>SUM(H11:H11)</f>
        <v>0</v>
      </c>
      <c r="I13" s="145" t="str">
        <f t="shared" ref="I13:I23" si="0">IF(D13&gt;B13,"Category Exceeded by "&amp;TEXT(D13-B13,"#,##0"),"")</f>
        <v/>
      </c>
      <c r="J13" s="146"/>
    </row>
    <row r="14" spans="1:10">
      <c r="A14" s="76"/>
      <c r="B14" s="61"/>
      <c r="C14" s="61"/>
      <c r="D14" s="61"/>
      <c r="E14" s="61"/>
      <c r="F14" s="155"/>
      <c r="G14" s="144"/>
      <c r="H14" s="150"/>
      <c r="I14" s="145"/>
      <c r="J14" s="146"/>
    </row>
    <row r="15" spans="1:10">
      <c r="A15" s="76" t="str">
        <f>'Current Claim'!A18</f>
        <v>Internal Trainer Personnel Costs</v>
      </c>
      <c r="B15" s="61">
        <f>'Current Claim'!B18</f>
        <v>0</v>
      </c>
      <c r="C15" s="61">
        <f>IF(Control!$B$3&gt;1,ROUND(SUM(Control!F31+Control!D31),0),Control!D31)</f>
        <v>0</v>
      </c>
      <c r="D15" s="61">
        <f t="shared" ref="D15:D21" si="1">C15-E15-F15</f>
        <v>0</v>
      </c>
      <c r="E15" s="61">
        <f>IF($D$6&gt;1,'Claim History'!E15+'Current Claim'!D18,'Current Claim'!D18)</f>
        <v>0</v>
      </c>
      <c r="F15" s="62">
        <f>IF($D$6&gt;1,'Claim History'!F15+'Current Claim'!E18-'Current Claim'!G18,'Current Claim'!E18)</f>
        <v>0</v>
      </c>
      <c r="G15" s="144"/>
      <c r="H15" s="149">
        <f>B15-D15</f>
        <v>0</v>
      </c>
      <c r="I15" s="145" t="str">
        <f t="shared" si="0"/>
        <v/>
      </c>
      <c r="J15" s="146"/>
    </row>
    <row r="16" spans="1:10">
      <c r="A16" s="76" t="str">
        <f>'Current Claim'!A19</f>
        <v>Travel &amp; Subsistence</v>
      </c>
      <c r="B16" s="61">
        <f>'Current Claim'!B19</f>
        <v>0</v>
      </c>
      <c r="C16" s="61">
        <f>IF(Control!$B$3&gt;1,ROUND(SUM(Control!F32+Control!D32),0),Control!D32)</f>
        <v>0</v>
      </c>
      <c r="D16" s="61">
        <f t="shared" si="1"/>
        <v>0</v>
      </c>
      <c r="E16" s="61">
        <f>IF($D$6&gt;1,'Claim History'!E16+'Current Claim'!D19,'Current Claim'!D19)</f>
        <v>0</v>
      </c>
      <c r="F16" s="62">
        <f>IF($D$6&gt;1,'Claim History'!F16+'Current Claim'!E19-'Current Claim'!G19,'Current Claim'!E19)</f>
        <v>0</v>
      </c>
      <c r="G16" s="144"/>
      <c r="H16" s="149">
        <f t="shared" ref="H16:H21" si="2">B16-D16</f>
        <v>0</v>
      </c>
      <c r="I16" s="145" t="str">
        <f t="shared" si="0"/>
        <v/>
      </c>
      <c r="J16" s="146"/>
    </row>
    <row r="17" spans="1:10">
      <c r="A17" s="76" t="str">
        <f>'Current Claim'!A20</f>
        <v>External Supplier Course Costs</v>
      </c>
      <c r="B17" s="61">
        <f>'Current Claim'!B20</f>
        <v>0</v>
      </c>
      <c r="C17" s="61">
        <f>IF(Control!$B$3&gt;1,ROUND(SUM(Control!F33+Control!D33),0),Control!D33)</f>
        <v>0</v>
      </c>
      <c r="D17" s="61">
        <f t="shared" si="1"/>
        <v>0</v>
      </c>
      <c r="E17" s="61">
        <f>IF($D$6&gt;1,'Claim History'!E17+'Current Claim'!D20,'Current Claim'!D20)</f>
        <v>0</v>
      </c>
      <c r="F17" s="62">
        <f>IF($D$6&gt;1,'Claim History'!F17+'Current Claim'!E20-'Current Claim'!G20,'Current Claim'!E20)</f>
        <v>0</v>
      </c>
      <c r="G17" s="144"/>
      <c r="H17" s="149">
        <f t="shared" si="2"/>
        <v>0</v>
      </c>
      <c r="I17" s="145" t="str">
        <f t="shared" si="0"/>
        <v/>
      </c>
      <c r="J17" s="146"/>
    </row>
    <row r="18" spans="1:10">
      <c r="A18" s="76" t="str">
        <f>'Current Claim'!A21</f>
        <v>Materials</v>
      </c>
      <c r="B18" s="61">
        <f>'Current Claim'!B21</f>
        <v>0</v>
      </c>
      <c r="C18" s="61">
        <f>IF(Control!$B$3&gt;1,ROUND(SUM(Control!F34+Control!D34),0),Control!D34)</f>
        <v>0</v>
      </c>
      <c r="D18" s="61">
        <f t="shared" si="1"/>
        <v>0</v>
      </c>
      <c r="E18" s="61">
        <f>IF($D$6&gt;1,'Claim History'!E18+'Current Claim'!D21,'Current Claim'!D21)</f>
        <v>0</v>
      </c>
      <c r="F18" s="62">
        <f>IF($D$6&gt;1,'Claim History'!F18+'Current Claim'!E21-'Current Claim'!G21,'Current Claim'!E21)</f>
        <v>0</v>
      </c>
      <c r="G18" s="144"/>
      <c r="H18" s="149">
        <f t="shared" si="2"/>
        <v>0</v>
      </c>
      <c r="I18" s="145" t="str">
        <f t="shared" si="0"/>
        <v/>
      </c>
      <c r="J18" s="146"/>
    </row>
    <row r="19" spans="1:10">
      <c r="A19" s="76" t="str">
        <f>'Current Claim'!A22</f>
        <v>Training Advisory Service Costs</v>
      </c>
      <c r="B19" s="61">
        <f>'Current Claim'!B22</f>
        <v>0</v>
      </c>
      <c r="C19" s="61">
        <f>IF(Control!$B$3&gt;1,ROUND(SUM(Control!F35+Control!D35),0),Control!D35)</f>
        <v>0</v>
      </c>
      <c r="D19" s="61">
        <f t="shared" si="1"/>
        <v>0</v>
      </c>
      <c r="E19" s="61">
        <f>IF($D$6&gt;1,'Claim History'!E19+'Current Claim'!D22,'Current Claim'!D22)</f>
        <v>0</v>
      </c>
      <c r="F19" s="62">
        <f>IF($D$6&gt;1,'Claim History'!F19+'Current Claim'!E22-'Current Claim'!G22,'Current Claim'!E22)</f>
        <v>0</v>
      </c>
      <c r="G19" s="144"/>
      <c r="H19" s="149">
        <f t="shared" si="2"/>
        <v>0</v>
      </c>
      <c r="I19" s="145" t="str">
        <f t="shared" si="0"/>
        <v/>
      </c>
      <c r="J19" s="146"/>
    </row>
    <row r="20" spans="1:10">
      <c r="A20" s="76">
        <f>'Current Claim'!A23</f>
        <v>0</v>
      </c>
      <c r="B20" s="61">
        <f>'Current Claim'!B23</f>
        <v>0</v>
      </c>
      <c r="C20" s="61">
        <f>IF(Control!$B$3&gt;1,ROUND(SUM(Control!F36+Control!D36),0),Control!D36)</f>
        <v>0</v>
      </c>
      <c r="D20" s="61">
        <f t="shared" si="1"/>
        <v>0</v>
      </c>
      <c r="E20" s="61">
        <f>IF($D$6&gt;1,'Claim History'!E20+'Current Claim'!D23,'Current Claim'!D23)</f>
        <v>0</v>
      </c>
      <c r="F20" s="62">
        <f>IF($D$6&gt;1,'Claim History'!F20+'Current Claim'!E23-'Current Claim'!G23,'Current Claim'!E23)</f>
        <v>0</v>
      </c>
      <c r="G20" s="144"/>
      <c r="H20" s="149">
        <f t="shared" si="2"/>
        <v>0</v>
      </c>
      <c r="I20" s="145" t="str">
        <f t="shared" si="0"/>
        <v/>
      </c>
      <c r="J20" s="146"/>
    </row>
    <row r="21" spans="1:10">
      <c r="A21" s="76">
        <f>'Current Claim'!A24</f>
        <v>0</v>
      </c>
      <c r="B21" s="61">
        <f>'Current Claim'!B24</f>
        <v>0</v>
      </c>
      <c r="C21" s="61">
        <f>IF(Control!$B$3&gt;1,ROUND(SUM(Control!F37+Control!D37),0),Control!D37)</f>
        <v>0</v>
      </c>
      <c r="D21" s="61">
        <f t="shared" si="1"/>
        <v>0</v>
      </c>
      <c r="E21" s="61">
        <f>IF($D$6&gt;1,'Claim History'!E21+'Current Claim'!D24,'Current Claim'!D24)</f>
        <v>0</v>
      </c>
      <c r="F21" s="62">
        <f>IF($D$6&gt;1,'Claim History'!F21+'Current Claim'!E24-'Current Claim'!G24,'Current Claim'!E24)</f>
        <v>0</v>
      </c>
      <c r="G21" s="144"/>
      <c r="H21" s="149">
        <f t="shared" si="2"/>
        <v>0</v>
      </c>
      <c r="I21" s="145" t="str">
        <f t="shared" si="0"/>
        <v/>
      </c>
      <c r="J21" s="146"/>
    </row>
    <row r="22" spans="1:10" ht="14.65" thickBot="1">
      <c r="A22" s="60" t="s">
        <v>35</v>
      </c>
      <c r="B22" s="61" t="s">
        <v>35</v>
      </c>
      <c r="C22" s="61" t="s">
        <v>35</v>
      </c>
      <c r="D22" s="61"/>
      <c r="E22" s="61"/>
      <c r="F22" s="154"/>
      <c r="G22" s="144"/>
      <c r="H22" s="150"/>
      <c r="I22" s="145"/>
      <c r="J22" s="146"/>
    </row>
    <row r="23" spans="1:10" ht="14.65" thickBot="1">
      <c r="A23" s="63" t="s">
        <v>79</v>
      </c>
      <c r="B23" s="64">
        <f>SUM(B15:B22)</f>
        <v>0</v>
      </c>
      <c r="C23" s="64">
        <f>SUM(C15:C22)</f>
        <v>0</v>
      </c>
      <c r="D23" s="64">
        <f>SUM(D15:D22)</f>
        <v>0</v>
      </c>
      <c r="E23" s="64">
        <f>SUM(E15:E22)</f>
        <v>0</v>
      </c>
      <c r="F23" s="135">
        <f>SUM(F15:F22)</f>
        <v>0</v>
      </c>
      <c r="G23" s="144"/>
      <c r="H23" s="148">
        <f>SUM(H15:H22)</f>
        <v>0</v>
      </c>
      <c r="I23" s="145" t="str">
        <f t="shared" si="0"/>
        <v/>
      </c>
      <c r="J23" s="146"/>
    </row>
    <row r="24" spans="1:10">
      <c r="A24" s="60"/>
      <c r="B24" s="61"/>
      <c r="C24" s="61"/>
      <c r="D24" s="61"/>
      <c r="E24" s="61"/>
      <c r="F24" s="133"/>
      <c r="G24" s="144"/>
      <c r="H24" s="150"/>
      <c r="I24" s="145"/>
      <c r="J24" s="146"/>
    </row>
    <row r="25" spans="1:10">
      <c r="A25" s="60" t="s">
        <v>80</v>
      </c>
      <c r="B25" s="61">
        <f>B13+B23</f>
        <v>0</v>
      </c>
      <c r="C25" s="61">
        <f>C13+C23</f>
        <v>0</v>
      </c>
      <c r="D25" s="61">
        <f>D13+D23</f>
        <v>0</v>
      </c>
      <c r="E25" s="61">
        <f>E13+E23</f>
        <v>0</v>
      </c>
      <c r="F25" s="62">
        <f>F13+F23</f>
        <v>0</v>
      </c>
      <c r="G25" s="144"/>
      <c r="H25" s="149">
        <f>H13+H23</f>
        <v>0</v>
      </c>
      <c r="I25" s="145" t="str">
        <f>IF(D25&gt;B25,"Categories Exceeded by "&amp;TEXT(D25-B25,"#,##0"),"")</f>
        <v/>
      </c>
      <c r="J25" s="146"/>
    </row>
    <row r="26" spans="1:10" ht="14.65" thickBot="1">
      <c r="A26" s="66"/>
      <c r="B26" s="69"/>
      <c r="C26" s="69" t="s">
        <v>35</v>
      </c>
      <c r="D26" s="69"/>
      <c r="E26" s="69"/>
      <c r="F26" s="136"/>
      <c r="G26" s="144"/>
      <c r="H26" s="151"/>
      <c r="I26" s="145"/>
      <c r="J26" s="146"/>
    </row>
    <row r="27" spans="1:10">
      <c r="G27" s="138"/>
    </row>
    <row r="28" spans="1:10">
      <c r="G28" s="138"/>
      <c r="H28" s="400" t="e">
        <f>H25*'Current Claim'!D11</f>
        <v>#VALUE!</v>
      </c>
      <c r="I28" s="18" t="s">
        <v>329</v>
      </c>
    </row>
    <row r="29" spans="1:10">
      <c r="G29" s="138"/>
    </row>
    <row r="30" spans="1:10">
      <c r="G30" s="138"/>
    </row>
  </sheetData>
  <mergeCells count="1">
    <mergeCell ref="C2:F2"/>
  </mergeCells>
  <pageMargins left="0.7" right="0.44" top="0.75" bottom="0.75" header="0.3" footer="0.3"/>
  <pageSetup paperSize="9" scale="73" orientation="landscape" r:id="rId1"/>
  <headerFooter>
    <oddHeader>&amp;CTraining Grant Summary</oddHeader>
  </headerFooter>
  <extLst>
    <ext xmlns:x14="http://schemas.microsoft.com/office/spreadsheetml/2009/9/main" uri="{78C0D931-6437-407d-A8EE-F0AAD7539E65}">
      <x14:conditionalFormattings>
        <x14:conditionalFormatting xmlns:xm="http://schemas.microsoft.com/office/excel/2006/main">
          <x14:cfRule type="expression" priority="1" id="{775176C1-DF96-4C36-A85D-0F1778A449B8}">
            <xm:f>Control!$B$3&lt;=1</xm:f>
            <x14:dxf>
              <font>
                <color theme="0"/>
              </font>
            </x14:dxf>
          </x14:cfRule>
          <xm:sqref>J11:J26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5"/>
  <sheetViews>
    <sheetView topLeftCell="A55" zoomScaleNormal="100" workbookViewId="0">
      <selection activeCell="H52" sqref="H52"/>
    </sheetView>
  </sheetViews>
  <sheetFormatPr defaultRowHeight="14.25"/>
  <cols>
    <col min="1" max="1" width="15" customWidth="1"/>
    <col min="2" max="2" width="31.6640625" customWidth="1"/>
    <col min="3" max="3" width="12" customWidth="1"/>
    <col min="4" max="4" width="11.86328125" style="4" customWidth="1"/>
    <col min="7" max="7" width="11.33203125" customWidth="1"/>
    <col min="8" max="8" width="11.6640625" bestFit="1" customWidth="1"/>
  </cols>
  <sheetData>
    <row r="1" spans="1:10" s="2" customFormat="1">
      <c r="A1" s="439" t="s">
        <v>1</v>
      </c>
      <c r="B1" s="439"/>
      <c r="C1" s="439"/>
      <c r="D1" s="439"/>
      <c r="E1" s="439"/>
      <c r="F1" s="439"/>
      <c r="G1" s="439"/>
      <c r="H1" s="439"/>
      <c r="I1" s="439"/>
    </row>
    <row r="3" spans="1:10">
      <c r="A3" s="440" t="str">
        <f>Control!B22</f>
        <v>Training Grant</v>
      </c>
      <c r="B3" s="440"/>
      <c r="C3" s="440"/>
      <c r="D3" s="440"/>
      <c r="E3" s="440"/>
      <c r="F3" s="440"/>
      <c r="G3" s="440"/>
      <c r="H3" s="440"/>
      <c r="I3" s="440"/>
    </row>
    <row r="5" spans="1:10">
      <c r="A5" s="8" t="s">
        <v>13</v>
      </c>
      <c r="B5" s="9" t="str">
        <f>Control!B2</f>
        <v xml:space="preserve"> </v>
      </c>
      <c r="C5" s="9"/>
      <c r="D5" s="7" t="s">
        <v>14</v>
      </c>
      <c r="E5" s="9" t="s">
        <v>175</v>
      </c>
      <c r="F5" s="9"/>
      <c r="G5" s="8" t="s">
        <v>15</v>
      </c>
      <c r="H5" s="114">
        <f>Control!B3</f>
        <v>1</v>
      </c>
    </row>
    <row r="6" spans="1:10">
      <c r="A6" s="9"/>
      <c r="B6" s="9"/>
      <c r="C6" s="9"/>
      <c r="D6" s="14" t="s">
        <v>32</v>
      </c>
      <c r="E6" s="9" t="str">
        <f>IF(A3="Training Grant","T",IF(A3="Feasibility Grant","F","BAG"))</f>
        <v>T</v>
      </c>
      <c r="F6" s="9"/>
      <c r="G6" s="9" t="s">
        <v>33</v>
      </c>
      <c r="H6" s="9" t="s">
        <v>34</v>
      </c>
    </row>
    <row r="7" spans="1:10">
      <c r="A7" s="8" t="s">
        <v>2</v>
      </c>
      <c r="C7" s="9" t="str">
        <f>Control!B13</f>
        <v xml:space="preserve"> </v>
      </c>
      <c r="D7" s="7"/>
      <c r="E7" s="9"/>
      <c r="F7" s="9"/>
      <c r="G7" s="9"/>
      <c r="H7" s="9"/>
    </row>
    <row r="8" spans="1:10">
      <c r="A8" s="9"/>
      <c r="B8" s="9"/>
      <c r="C8" s="9"/>
      <c r="D8" s="7"/>
      <c r="E8" s="9"/>
      <c r="F8" s="9"/>
      <c r="G8" s="9"/>
      <c r="H8" s="9"/>
    </row>
    <row r="9" spans="1:10">
      <c r="A9" s="8" t="s">
        <v>3</v>
      </c>
      <c r="B9" s="9"/>
      <c r="C9" s="9" t="str">
        <f>CONCATENATE(Control!B14,", ",Control!B15,", ",Control!B16," ",Control!B17," ",Control!B18)</f>
        <v xml:space="preserve">, ,   </v>
      </c>
      <c r="D9" s="7"/>
      <c r="E9" s="9"/>
      <c r="F9" s="9"/>
      <c r="G9" s="9"/>
      <c r="H9" s="9"/>
    </row>
    <row r="10" spans="1:10">
      <c r="A10" s="9"/>
      <c r="B10" s="9"/>
      <c r="C10" s="9"/>
      <c r="D10" s="7"/>
      <c r="E10" s="9"/>
      <c r="F10" s="9"/>
      <c r="G10" s="9"/>
      <c r="H10" s="9"/>
    </row>
    <row r="11" spans="1:10">
      <c r="A11" s="8" t="s">
        <v>4</v>
      </c>
      <c r="B11" s="9"/>
      <c r="C11" s="10" t="str">
        <f>Control!B25</f>
        <v xml:space="preserve"> </v>
      </c>
      <c r="D11" s="7"/>
      <c r="E11" s="9"/>
      <c r="F11" s="9" t="s">
        <v>16</v>
      </c>
      <c r="G11" s="9"/>
      <c r="H11" s="17" t="str">
        <f>Control!B24</f>
        <v xml:space="preserve"> </v>
      </c>
      <c r="I11" s="1" t="str">
        <f>Control!B23</f>
        <v xml:space="preserve"> </v>
      </c>
    </row>
    <row r="12" spans="1:10">
      <c r="A12" s="9"/>
      <c r="B12" s="9"/>
      <c r="C12" s="9"/>
      <c r="D12" s="7"/>
      <c r="E12" s="9"/>
      <c r="F12" s="9"/>
      <c r="G12" s="9"/>
      <c r="H12" s="9"/>
    </row>
    <row r="13" spans="1:10">
      <c r="A13" s="8" t="s">
        <v>17</v>
      </c>
      <c r="B13" s="9"/>
      <c r="C13" s="9"/>
      <c r="D13" s="7"/>
      <c r="E13" s="9"/>
      <c r="F13" s="9"/>
      <c r="G13" s="9"/>
      <c r="H13" s="9"/>
    </row>
    <row r="14" spans="1:10">
      <c r="A14" s="2" t="s">
        <v>5</v>
      </c>
      <c r="F14" s="9"/>
      <c r="G14" s="9"/>
      <c r="H14" s="9"/>
      <c r="I14" s="9"/>
      <c r="J14" s="9"/>
    </row>
    <row r="15" spans="1:10" s="9" customFormat="1">
      <c r="A15" s="75" t="str">
        <f>Control!A30</f>
        <v>Trainee Personnel Costs</v>
      </c>
      <c r="C15" s="15"/>
      <c r="D15" s="15">
        <f>Control!B30</f>
        <v>0</v>
      </c>
    </row>
    <row r="16" spans="1:10" s="9" customFormat="1">
      <c r="A16" s="75" t="str">
        <f>Control!A31</f>
        <v>Internal Trainer Personnel Costs</v>
      </c>
      <c r="C16" s="15"/>
      <c r="D16" s="15">
        <f>Control!B31</f>
        <v>0</v>
      </c>
    </row>
    <row r="17" spans="1:10" s="9" customFormat="1">
      <c r="A17" s="75" t="str">
        <f>Control!A32</f>
        <v>Travel &amp; Subsistence</v>
      </c>
      <c r="C17" s="15"/>
      <c r="D17" s="15">
        <f>Control!B32</f>
        <v>0</v>
      </c>
    </row>
    <row r="18" spans="1:10" s="9" customFormat="1">
      <c r="A18" s="75" t="str">
        <f>Control!A33</f>
        <v>External Supplier Course Costs</v>
      </c>
      <c r="C18" s="15"/>
      <c r="D18" s="15">
        <f>Control!B33</f>
        <v>0</v>
      </c>
    </row>
    <row r="19" spans="1:10" s="9" customFormat="1">
      <c r="A19" s="75" t="str">
        <f>Control!A34</f>
        <v>Materials</v>
      </c>
      <c r="C19" s="15"/>
      <c r="D19" s="15">
        <f>Control!B34</f>
        <v>0</v>
      </c>
    </row>
    <row r="20" spans="1:10" s="9" customFormat="1">
      <c r="A20" s="75" t="str">
        <f>Control!A35</f>
        <v>Training Advisory Service Costs</v>
      </c>
      <c r="C20" s="16"/>
      <c r="D20" s="15">
        <f>Control!B35</f>
        <v>0</v>
      </c>
    </row>
    <row r="21" spans="1:10" s="9" customFormat="1">
      <c r="A21" s="75">
        <f>Control!A36</f>
        <v>0</v>
      </c>
      <c r="C21" s="15"/>
      <c r="D21" s="15">
        <f>Control!B36</f>
        <v>0</v>
      </c>
    </row>
    <row r="22" spans="1:10" s="9" customFormat="1">
      <c r="A22" s="75">
        <f>Control!A37</f>
        <v>0</v>
      </c>
      <c r="C22" s="15"/>
      <c r="D22" s="15">
        <f>Control!B37</f>
        <v>0</v>
      </c>
    </row>
    <row r="23" spans="1:10" s="2" customFormat="1">
      <c r="A23" s="6" t="s">
        <v>0</v>
      </c>
      <c r="C23" s="6"/>
      <c r="D23" s="6">
        <f>SUM(D15:D22)</f>
        <v>0</v>
      </c>
      <c r="F23" s="8"/>
      <c r="G23" s="8"/>
      <c r="H23" s="8"/>
      <c r="I23" s="8"/>
      <c r="J23" s="8"/>
    </row>
    <row r="24" spans="1:10">
      <c r="F24" s="9"/>
      <c r="G24" s="9"/>
      <c r="H24" s="9"/>
      <c r="I24" s="9"/>
      <c r="J24" s="9"/>
    </row>
    <row r="25" spans="1:10">
      <c r="A25" s="6" t="s">
        <v>6</v>
      </c>
      <c r="B25" s="197" t="str">
        <f>Control!B26</f>
        <v xml:space="preserve"> </v>
      </c>
      <c r="C25" s="4"/>
      <c r="D25" s="4" t="e">
        <f>MIN(C11,$D$23*$B$25)</f>
        <v>#VALUE!</v>
      </c>
      <c r="E25" t="e">
        <f>IF((B25*$D$23)&gt;C11+10,"Restricted to lesser","")</f>
        <v>#VALUE!</v>
      </c>
      <c r="F25" s="9"/>
      <c r="G25" s="9"/>
      <c r="H25" s="9"/>
      <c r="I25" s="9"/>
      <c r="J25" s="9"/>
    </row>
    <row r="26" spans="1:10">
      <c r="F26" s="9"/>
      <c r="G26" s="9"/>
      <c r="H26" s="9"/>
      <c r="I26" s="9"/>
      <c r="J26" s="9"/>
    </row>
    <row r="27" spans="1:10">
      <c r="A27" s="2" t="s">
        <v>7</v>
      </c>
      <c r="F27" s="9"/>
      <c r="G27" s="9"/>
      <c r="H27" s="9"/>
      <c r="I27" s="9"/>
      <c r="J27" s="9"/>
    </row>
    <row r="28" spans="1:10">
      <c r="F28" s="9"/>
      <c r="G28" s="9"/>
      <c r="H28" s="9"/>
      <c r="I28" s="9"/>
      <c r="J28" s="9"/>
    </row>
    <row r="29" spans="1:10" s="9" customFormat="1">
      <c r="A29" s="75" t="str">
        <f>A15</f>
        <v>Trainee Personnel Costs</v>
      </c>
      <c r="C29" s="15"/>
      <c r="D29" s="15">
        <f>'Summary '!C11</f>
        <v>0</v>
      </c>
    </row>
    <row r="30" spans="1:10" s="9" customFormat="1">
      <c r="A30" s="75" t="str">
        <f>A16</f>
        <v>Internal Trainer Personnel Costs</v>
      </c>
      <c r="C30" s="15"/>
      <c r="D30" s="15">
        <f>'Summary '!C15</f>
        <v>0</v>
      </c>
    </row>
    <row r="31" spans="1:10" s="9" customFormat="1">
      <c r="A31" s="75" t="str">
        <f>A17</f>
        <v>Travel &amp; Subsistence</v>
      </c>
      <c r="C31" s="15"/>
      <c r="D31" s="15">
        <f>'Summary '!C16</f>
        <v>0</v>
      </c>
    </row>
    <row r="32" spans="1:10" s="9" customFormat="1">
      <c r="A32" s="75" t="str">
        <f>A18</f>
        <v>External Supplier Course Costs</v>
      </c>
      <c r="C32" s="15"/>
      <c r="D32" s="15">
        <f>'Summary '!C17</f>
        <v>0</v>
      </c>
    </row>
    <row r="33" spans="1:10" s="9" customFormat="1">
      <c r="A33" s="75" t="str">
        <f>A19</f>
        <v>Materials</v>
      </c>
      <c r="C33" s="15"/>
      <c r="D33" s="15">
        <f>'Summary '!C18</f>
        <v>0</v>
      </c>
    </row>
    <row r="34" spans="1:10" s="9" customFormat="1">
      <c r="A34" s="75" t="str">
        <f>A20</f>
        <v>Training Advisory Service Costs</v>
      </c>
      <c r="C34" s="16"/>
      <c r="D34" s="15">
        <f>'Summary '!C19</f>
        <v>0</v>
      </c>
    </row>
    <row r="35" spans="1:10" s="9" customFormat="1">
      <c r="A35" s="75">
        <f>A21</f>
        <v>0</v>
      </c>
      <c r="C35" s="15"/>
      <c r="D35" s="15">
        <f>'Summary '!C20</f>
        <v>0</v>
      </c>
    </row>
    <row r="36" spans="1:10" s="9" customFormat="1">
      <c r="A36" s="75">
        <f>A22</f>
        <v>0</v>
      </c>
      <c r="C36" s="15"/>
      <c r="D36" s="15">
        <f>'Summary '!C21</f>
        <v>0</v>
      </c>
    </row>
    <row r="37" spans="1:10" s="2" customFormat="1">
      <c r="A37" s="6" t="s">
        <v>0</v>
      </c>
      <c r="C37" s="6"/>
      <c r="D37" s="6">
        <f>SUM(D29:D36)</f>
        <v>0</v>
      </c>
      <c r="F37" s="8"/>
      <c r="G37" s="8"/>
      <c r="H37" s="8"/>
      <c r="I37" s="8"/>
      <c r="J37" s="8"/>
    </row>
    <row r="38" spans="1:10">
      <c r="F38" s="9"/>
      <c r="G38" s="9"/>
      <c r="H38" s="9"/>
      <c r="I38" s="9"/>
      <c r="J38" s="9"/>
    </row>
    <row r="39" spans="1:10">
      <c r="A39" s="6" t="s">
        <v>8</v>
      </c>
      <c r="F39" s="9"/>
      <c r="G39" s="9"/>
      <c r="H39" s="9"/>
      <c r="I39" s="9"/>
      <c r="J39" s="9"/>
    </row>
    <row r="40" spans="1:10">
      <c r="F40" s="9"/>
      <c r="G40" s="9"/>
      <c r="H40" s="9"/>
      <c r="I40" s="9"/>
      <c r="J40" s="9"/>
    </row>
    <row r="41" spans="1:10" s="9" customFormat="1">
      <c r="A41" s="75" t="str">
        <f>A29</f>
        <v>Trainee Personnel Costs</v>
      </c>
      <c r="C41" s="15"/>
      <c r="D41" s="15">
        <f>'Summary '!D11</f>
        <v>0</v>
      </c>
    </row>
    <row r="42" spans="1:10" s="9" customFormat="1">
      <c r="A42" s="75" t="str">
        <f>A30</f>
        <v>Internal Trainer Personnel Costs</v>
      </c>
      <c r="C42" s="15"/>
      <c r="D42" s="15">
        <f>'Summary '!D15</f>
        <v>0</v>
      </c>
    </row>
    <row r="43" spans="1:10" s="9" customFormat="1">
      <c r="A43" s="75" t="str">
        <f t="shared" ref="A43:A48" si="0">A31</f>
        <v>Travel &amp; Subsistence</v>
      </c>
      <c r="C43" s="15"/>
      <c r="D43" s="15">
        <f>'Summary '!D16</f>
        <v>0</v>
      </c>
    </row>
    <row r="44" spans="1:10" s="9" customFormat="1">
      <c r="A44" s="75" t="str">
        <f t="shared" si="0"/>
        <v>External Supplier Course Costs</v>
      </c>
      <c r="C44" s="15"/>
      <c r="D44" s="15">
        <f>'Summary '!D17</f>
        <v>0</v>
      </c>
    </row>
    <row r="45" spans="1:10" s="9" customFormat="1">
      <c r="A45" s="75" t="str">
        <f t="shared" si="0"/>
        <v>Materials</v>
      </c>
      <c r="C45" s="15"/>
      <c r="D45" s="15">
        <f>'Summary '!D18</f>
        <v>0</v>
      </c>
    </row>
    <row r="46" spans="1:10" s="9" customFormat="1">
      <c r="A46" s="75" t="str">
        <f t="shared" si="0"/>
        <v>Training Advisory Service Costs</v>
      </c>
      <c r="C46" s="16"/>
      <c r="D46" s="15">
        <f>'Summary '!D19</f>
        <v>0</v>
      </c>
    </row>
    <row r="47" spans="1:10" s="9" customFormat="1">
      <c r="A47" s="75">
        <f t="shared" si="0"/>
        <v>0</v>
      </c>
      <c r="C47" s="15"/>
      <c r="D47" s="15">
        <f>'Summary '!D20</f>
        <v>0</v>
      </c>
    </row>
    <row r="48" spans="1:10" s="9" customFormat="1">
      <c r="A48" s="75">
        <f t="shared" si="0"/>
        <v>0</v>
      </c>
      <c r="C48" s="15"/>
      <c r="D48" s="15">
        <f>'Summary '!D21</f>
        <v>0</v>
      </c>
    </row>
    <row r="49" spans="1:13" s="2" customFormat="1">
      <c r="A49" s="6" t="s">
        <v>0</v>
      </c>
      <c r="C49" s="6"/>
      <c r="D49" s="6">
        <f>SUM(D41:D48)</f>
        <v>0</v>
      </c>
      <c r="F49" s="8"/>
      <c r="G49" s="8"/>
      <c r="H49" s="8"/>
      <c r="I49" s="8"/>
      <c r="J49" s="8"/>
    </row>
    <row r="50" spans="1:13">
      <c r="F50" s="9"/>
      <c r="G50" s="9"/>
      <c r="H50" s="9"/>
      <c r="I50" s="9"/>
      <c r="J50" s="9"/>
    </row>
    <row r="51" spans="1:13">
      <c r="A51" s="3" t="s">
        <v>9</v>
      </c>
      <c r="D51" s="4" t="e">
        <f>MIN(C11,$D$49*$B$25)</f>
        <v>#VALUE!</v>
      </c>
      <c r="E51" t="str">
        <f>IF((B51*$D$23)&gt;C37+10,"Restricted to lesser","")</f>
        <v/>
      </c>
      <c r="G51" s="9"/>
      <c r="H51" s="9"/>
      <c r="I51" s="9"/>
      <c r="J51" s="9"/>
    </row>
    <row r="52" spans="1:13">
      <c r="A52" s="3" t="s">
        <v>10</v>
      </c>
      <c r="D52" s="7">
        <f>IF(Control!B3&gt;1,'Claim History'!D25*Control!B26,0)</f>
        <v>0</v>
      </c>
      <c r="F52" s="11"/>
      <c r="G52" s="9"/>
      <c r="H52" s="9"/>
      <c r="I52" s="9"/>
      <c r="J52" s="9"/>
    </row>
    <row r="53" spans="1:13">
      <c r="A53" s="3" t="s">
        <v>11</v>
      </c>
      <c r="D53" s="4" t="e">
        <f>D51-D52</f>
        <v>#VALUE!</v>
      </c>
      <c r="E53" s="2"/>
      <c r="G53" s="9"/>
      <c r="H53" s="9"/>
      <c r="I53" s="9"/>
      <c r="J53" s="9"/>
    </row>
    <row r="54" spans="1:13">
      <c r="F54" s="11"/>
      <c r="G54" s="9"/>
      <c r="H54" s="9"/>
      <c r="I54" s="9"/>
      <c r="J54" s="9"/>
    </row>
    <row r="55" spans="1:13">
      <c r="A55" s="6" t="s">
        <v>12</v>
      </c>
      <c r="D55" s="5" t="e">
        <f>D53+F53+H53</f>
        <v>#VALUE!</v>
      </c>
      <c r="F55" s="9"/>
      <c r="G55" s="9"/>
      <c r="H55" s="9"/>
      <c r="I55" s="19"/>
      <c r="J55" s="18"/>
      <c r="K55" s="4"/>
      <c r="M55" s="4"/>
    </row>
    <row r="56" spans="1:13">
      <c r="A56" s="6"/>
      <c r="D56" s="5"/>
      <c r="F56" s="9"/>
      <c r="G56" s="9"/>
      <c r="H56" s="9"/>
      <c r="I56" s="9"/>
      <c r="J56" s="9"/>
    </row>
    <row r="57" spans="1:13">
      <c r="A57" s="11" t="s">
        <v>29</v>
      </c>
      <c r="D57" s="11" t="s">
        <v>30</v>
      </c>
      <c r="F57" s="9"/>
      <c r="G57" s="9"/>
      <c r="H57" s="9"/>
      <c r="I57" s="9"/>
      <c r="J57" s="9"/>
    </row>
    <row r="58" spans="1:13">
      <c r="A58" s="11"/>
      <c r="D58" s="11"/>
      <c r="F58" s="9"/>
      <c r="G58" s="9"/>
      <c r="H58" s="9"/>
      <c r="I58" s="9"/>
      <c r="J58" s="9"/>
    </row>
    <row r="59" spans="1:13" ht="14.65" thickBot="1">
      <c r="B59" t="str">
        <f>Control!B5</f>
        <v xml:space="preserve"> </v>
      </c>
      <c r="F59" s="9"/>
      <c r="G59" s="9"/>
      <c r="H59" s="9"/>
      <c r="I59" s="9"/>
      <c r="J59" s="9"/>
    </row>
    <row r="60" spans="1:13" s="12" customFormat="1" ht="28.5" customHeight="1" thickTop="1">
      <c r="A60" s="200" t="s">
        <v>18</v>
      </c>
      <c r="B60" s="201"/>
      <c r="C60" s="201"/>
      <c r="D60" s="201"/>
      <c r="E60" s="201"/>
      <c r="F60" s="202"/>
      <c r="G60" s="203" t="s">
        <v>31</v>
      </c>
      <c r="H60" s="202"/>
      <c r="I60" s="202"/>
    </row>
    <row r="61" spans="1:13" s="12" customFormat="1">
      <c r="A61" s="204"/>
      <c r="B61" s="205"/>
      <c r="C61" s="205"/>
      <c r="D61" s="205"/>
      <c r="E61" s="205"/>
      <c r="F61" s="205"/>
      <c r="G61" s="205"/>
      <c r="H61" s="205"/>
      <c r="I61" s="205"/>
    </row>
    <row r="62" spans="1:13" s="12" customFormat="1">
      <c r="A62" s="204"/>
      <c r="B62" s="205"/>
      <c r="C62" s="205"/>
      <c r="D62" s="205"/>
      <c r="E62" s="205"/>
      <c r="F62" s="205"/>
      <c r="G62" s="206" t="s">
        <v>19</v>
      </c>
      <c r="H62" s="333"/>
      <c r="I62" s="205"/>
    </row>
    <row r="63" spans="1:13" s="12" customFormat="1">
      <c r="A63" s="204" t="s">
        <v>20</v>
      </c>
      <c r="B63" s="207"/>
      <c r="C63" s="207"/>
      <c r="D63" s="207"/>
      <c r="E63" s="207"/>
      <c r="F63" s="205"/>
      <c r="G63" s="205"/>
      <c r="H63" s="205"/>
      <c r="I63" s="205"/>
    </row>
    <row r="64" spans="1:13" s="12" customFormat="1">
      <c r="A64" s="204"/>
      <c r="B64" s="205"/>
      <c r="C64" s="205"/>
      <c r="D64" s="208"/>
      <c r="E64" s="205"/>
      <c r="F64" s="205"/>
      <c r="G64" s="205"/>
      <c r="H64" s="205"/>
      <c r="I64" s="205"/>
    </row>
    <row r="65" spans="1:9" s="12" customFormat="1">
      <c r="A65" s="204"/>
      <c r="B65" s="205"/>
      <c r="C65" s="205"/>
      <c r="D65" s="205"/>
      <c r="E65" s="205"/>
      <c r="F65" s="205"/>
      <c r="G65" s="205"/>
      <c r="H65" s="205"/>
      <c r="I65" s="205"/>
    </row>
    <row r="66" spans="1:9" s="13" customFormat="1">
      <c r="A66" s="204" t="s">
        <v>21</v>
      </c>
      <c r="B66" s="207"/>
      <c r="C66" s="207"/>
      <c r="D66" s="207"/>
      <c r="E66" s="207"/>
      <c r="F66" s="209"/>
      <c r="G66" s="206" t="s">
        <v>22</v>
      </c>
      <c r="H66" s="207"/>
      <c r="I66" s="207"/>
    </row>
    <row r="67" spans="1:9" s="13" customFormat="1">
      <c r="A67" s="210"/>
      <c r="B67" s="209"/>
      <c r="C67" s="209"/>
      <c r="D67" s="211" t="s">
        <v>23</v>
      </c>
      <c r="E67" s="209"/>
      <c r="F67" s="209"/>
      <c r="G67" s="209"/>
      <c r="H67" s="209"/>
      <c r="I67" s="209"/>
    </row>
    <row r="68" spans="1:9" s="13" customFormat="1">
      <c r="A68" s="210"/>
      <c r="B68" s="209"/>
      <c r="C68" s="209"/>
      <c r="D68" s="209"/>
      <c r="E68" s="209"/>
      <c r="F68" s="209"/>
      <c r="G68" s="209"/>
      <c r="H68" s="209"/>
      <c r="I68" s="209"/>
    </row>
    <row r="69" spans="1:9" s="13" customFormat="1">
      <c r="A69" s="210" t="s">
        <v>24</v>
      </c>
      <c r="B69" s="209"/>
      <c r="C69" s="210"/>
      <c r="D69" s="209"/>
      <c r="E69" s="210"/>
      <c r="F69" s="210"/>
      <c r="G69" s="209"/>
      <c r="H69" s="212" t="e">
        <f>D55</f>
        <v>#VALUE!</v>
      </c>
      <c r="I69" s="210"/>
    </row>
    <row r="70" spans="1:9" s="12" customFormat="1">
      <c r="A70" s="204"/>
      <c r="B70" s="205"/>
      <c r="C70" s="204"/>
      <c r="D70" s="205"/>
      <c r="E70" s="204"/>
      <c r="F70" s="204"/>
      <c r="G70" s="205"/>
      <c r="H70" s="204"/>
      <c r="I70" s="204"/>
    </row>
    <row r="71" spans="1:9" s="12" customFormat="1">
      <c r="A71" s="204"/>
      <c r="B71" s="207"/>
      <c r="C71" s="213"/>
      <c r="D71" s="207"/>
      <c r="E71" s="213"/>
      <c r="F71" s="204"/>
      <c r="G71" s="205"/>
      <c r="H71" s="204"/>
      <c r="I71" s="204"/>
    </row>
    <row r="72" spans="1:9" s="13" customFormat="1">
      <c r="A72" s="210"/>
      <c r="B72" s="211" t="s">
        <v>25</v>
      </c>
      <c r="C72" s="210"/>
      <c r="D72" s="209"/>
      <c r="E72" s="210"/>
      <c r="F72" s="210"/>
      <c r="G72" s="209"/>
      <c r="H72" s="210"/>
      <c r="I72" s="210"/>
    </row>
    <row r="73" spans="1:9" s="13" customFormat="1">
      <c r="A73" s="210"/>
      <c r="B73" s="209"/>
      <c r="C73" s="210"/>
      <c r="D73" s="209"/>
      <c r="E73" s="210"/>
      <c r="F73" s="210"/>
      <c r="G73" s="209"/>
      <c r="H73" s="210"/>
      <c r="I73" s="210"/>
    </row>
    <row r="74" spans="1:9" s="13" customFormat="1">
      <c r="A74" s="214" t="s">
        <v>26</v>
      </c>
      <c r="B74" s="207"/>
      <c r="C74" s="213"/>
      <c r="D74" s="207"/>
      <c r="E74" s="215" t="s">
        <v>27</v>
      </c>
      <c r="F74" s="213"/>
      <c r="G74" s="207"/>
      <c r="H74" s="213"/>
      <c r="I74" s="210"/>
    </row>
    <row r="75" spans="1:9" s="13" customFormat="1">
      <c r="A75" s="214"/>
      <c r="B75" s="209"/>
      <c r="C75" s="210"/>
      <c r="D75" s="209"/>
      <c r="E75" s="210"/>
      <c r="F75" s="210"/>
      <c r="G75" s="209"/>
      <c r="H75" s="210"/>
      <c r="I75" s="210"/>
    </row>
    <row r="76" spans="1:9" s="13" customFormat="1" ht="23.25" customHeight="1">
      <c r="A76" s="214" t="s">
        <v>28</v>
      </c>
      <c r="B76" s="207"/>
      <c r="C76" s="213"/>
      <c r="D76" s="207"/>
      <c r="E76" s="210"/>
      <c r="F76" s="204"/>
      <c r="G76" s="205"/>
      <c r="H76" s="204"/>
      <c r="I76" s="210"/>
    </row>
    <row r="77" spans="1:9" s="9" customFormat="1">
      <c r="A77" s="198"/>
      <c r="B77" s="198"/>
      <c r="C77" s="198"/>
      <c r="D77" s="199"/>
      <c r="E77" s="198"/>
      <c r="F77" s="198"/>
      <c r="G77" s="198"/>
      <c r="H77" s="198"/>
      <c r="I77" s="198"/>
    </row>
    <row r="78" spans="1:9" s="9" customFormat="1">
      <c r="D78" s="7"/>
    </row>
    <row r="79" spans="1:9" s="9" customFormat="1">
      <c r="D79" s="7"/>
    </row>
    <row r="80" spans="1:9" s="9" customFormat="1">
      <c r="D80" s="7"/>
    </row>
    <row r="81" spans="4:4" s="9" customFormat="1">
      <c r="D81" s="7"/>
    </row>
    <row r="82" spans="4:4" s="9" customFormat="1">
      <c r="D82" s="7"/>
    </row>
    <row r="83" spans="4:4" s="9" customFormat="1">
      <c r="D83" s="7"/>
    </row>
    <row r="84" spans="4:4" s="9" customFormat="1">
      <c r="D84" s="7"/>
    </row>
    <row r="85" spans="4:4" s="9" customFormat="1">
      <c r="D85" s="7"/>
    </row>
  </sheetData>
  <sheetProtection formatCells="0" formatColumns="0" formatRows="0" insertColumns="0" insertRows="0" deleteColumns="0" deleteRows="0" selectLockedCells="1" sort="0"/>
  <mergeCells count="2">
    <mergeCell ref="A1:I1"/>
    <mergeCell ref="A3:I3"/>
  </mergeCells>
  <pageMargins left="0.70866141732283472" right="0.70866141732283472" top="0.74803149606299213" bottom="0.74803149606299213" header="0.31496062992125984" footer="0.31496062992125984"/>
  <pageSetup paperSize="9" scale="59" orientation="portrait" r:id="rId1"/>
  <ignoredErrors>
    <ignoredError sqref="C9 C7 B5 C11 A15 A29 A30 A41 A42 D15 D16 D37 H11 H5 D29 D41 B25 D52 A3 E6 A16 D17:D23 A17:A22 D30 A31:A37 D31:D36 D42 A43:A49 D43:D5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4:I47"/>
  <sheetViews>
    <sheetView showZeros="0" zoomScaleNormal="100" workbookViewId="0">
      <selection activeCell="E21" sqref="E21"/>
    </sheetView>
  </sheetViews>
  <sheetFormatPr defaultColWidth="9.1328125" defaultRowHeight="15.75"/>
  <cols>
    <col min="1" max="1" width="5.33203125" style="25" customWidth="1"/>
    <col min="2" max="2" width="19.86328125" style="25" bestFit="1" customWidth="1"/>
    <col min="3" max="7" width="9.1328125" style="25"/>
    <col min="8" max="8" width="1.53125" style="25" customWidth="1"/>
    <col min="9" max="16384" width="9.1328125" style="25"/>
  </cols>
  <sheetData>
    <row r="4" spans="2:9" ht="13.25" customHeight="1">
      <c r="G4" s="274"/>
      <c r="I4" s="279"/>
    </row>
    <row r="5" spans="2:9" ht="13.25" customHeight="1">
      <c r="G5" s="274"/>
      <c r="I5" s="279"/>
    </row>
    <row r="6" spans="2:9" ht="13.25" customHeight="1">
      <c r="G6" s="31"/>
      <c r="I6" s="277"/>
    </row>
    <row r="7" spans="2:9" ht="13.25" customHeight="1">
      <c r="G7" s="280"/>
      <c r="I7" s="278"/>
    </row>
    <row r="8" spans="2:9" ht="13.25" customHeight="1">
      <c r="G8" s="280"/>
      <c r="I8" s="278"/>
    </row>
    <row r="9" spans="2:9" ht="13.25" customHeight="1">
      <c r="G9" s="280"/>
      <c r="I9" s="278"/>
    </row>
    <row r="10" spans="2:9" ht="13.25" customHeight="1">
      <c r="G10" s="280"/>
      <c r="I10" s="278"/>
    </row>
    <row r="11" spans="2:9" ht="13.25" customHeight="1">
      <c r="E11" s="276"/>
      <c r="G11" s="275"/>
      <c r="I11" s="166"/>
    </row>
    <row r="12" spans="2:9" ht="13.25" customHeight="1">
      <c r="E12" s="276"/>
      <c r="G12" s="275"/>
      <c r="I12" s="166"/>
    </row>
    <row r="15" spans="2:9">
      <c r="B15" s="25" t="str">
        <f>CONCATENATE(Control!B7," ",Control!B8," ",Control!B9)</f>
        <v xml:space="preserve">   </v>
      </c>
    </row>
    <row r="16" spans="2:9">
      <c r="B16" s="25" t="str">
        <f>Control!B13</f>
        <v xml:space="preserve"> </v>
      </c>
    </row>
    <row r="17" spans="2:8">
      <c r="B17" s="25">
        <f>Control!B14</f>
        <v>0</v>
      </c>
    </row>
    <row r="18" spans="2:8">
      <c r="B18" s="25">
        <f>Control!B15</f>
        <v>0</v>
      </c>
    </row>
    <row r="19" spans="2:8">
      <c r="B19" s="25">
        <f>Control!B16</f>
        <v>0</v>
      </c>
    </row>
    <row r="20" spans="2:8">
      <c r="B20" s="25">
        <f>Control!B17</f>
        <v>0</v>
      </c>
    </row>
    <row r="21" spans="2:8">
      <c r="B21" s="25">
        <f>Control!B18</f>
        <v>0</v>
      </c>
    </row>
    <row r="22" spans="2:8">
      <c r="H22" s="29"/>
    </row>
    <row r="23" spans="2:8">
      <c r="B23" s="287" t="str">
        <f>HYPERLINK(Control!B11)</f>
        <v/>
      </c>
    </row>
    <row r="26" spans="2:8">
      <c r="B26" s="26">
        <f>Control!B53</f>
        <v>0</v>
      </c>
    </row>
    <row r="29" spans="2:8">
      <c r="B29" s="25" t="str">
        <f>CONCATENATE("Dear ",Control!B8)</f>
        <v xml:space="preserve">Dear </v>
      </c>
    </row>
    <row r="30" spans="2:8">
      <c r="B30" s="27"/>
    </row>
    <row r="31" spans="2:8">
      <c r="B31" s="27" t="str">
        <f>("Project No. "&amp;'Payment Report'!B5&amp;" / "&amp;Control!B22)</f>
        <v>Project No.   / Training Grant</v>
      </c>
    </row>
    <row r="33" spans="2:2">
      <c r="B33" s="28" t="e">
        <f>CONCATENATE("I write to advise that payment of €",TEXT('Payment Report'!D55,"#,##0")," has been transferred to the nominated bank account.")</f>
        <v>#VALUE!</v>
      </c>
    </row>
    <row r="35" spans="2:2">
      <c r="B35" s="25" t="str">
        <f>CONCATENATE("This payment is in settlement of your Accountant’s Report dated ",IF(Control!B40="","  CHECK CONTROL TAB",TEXT(Control!B40,"D MMMM YYYY")),".")</f>
        <v>This payment is in settlement of your Accountant’s Report dated  .</v>
      </c>
    </row>
    <row r="37" spans="2:2">
      <c r="B37" s="25" t="s">
        <v>36</v>
      </c>
    </row>
    <row r="40" spans="2:2">
      <c r="B40" s="25" t="s">
        <v>37</v>
      </c>
    </row>
    <row r="45" spans="2:2">
      <c r="B45" s="25" t="s">
        <v>38</v>
      </c>
    </row>
    <row r="46" spans="2:2">
      <c r="B46" s="27" t="str">
        <f>Control!B5</f>
        <v xml:space="preserve"> </v>
      </c>
    </row>
    <row r="47" spans="2:2">
      <c r="B47" s="27" t="s">
        <v>39</v>
      </c>
    </row>
  </sheetData>
  <pageMargins left="0.70866141732283472" right="0.70866141732283472" top="0.74803149606299213" bottom="0.74803149606299213" header="0.31496062992125984" footer="0.31496062992125984"/>
  <pageSetup paperSize="9" scale="86" fitToWidth="0" orientation="portrait" r:id="rId1"/>
  <colBreaks count="2" manualBreakCount="2">
    <brk id="12" max="52" man="1"/>
    <brk id="13" max="58"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9"/>
  <sheetViews>
    <sheetView topLeftCell="A11" workbookViewId="0">
      <selection activeCell="C39" sqref="C39"/>
    </sheetView>
  </sheetViews>
  <sheetFormatPr defaultColWidth="9.1328125" defaultRowHeight="14.25"/>
  <cols>
    <col min="1" max="1" width="9.1328125" style="9"/>
    <col min="2" max="2" width="11.53125" style="9" customWidth="1"/>
    <col min="3" max="3" width="10" style="9" customWidth="1"/>
    <col min="4" max="4" width="10.1328125" style="9" bestFit="1" customWidth="1"/>
    <col min="5" max="6" width="9.1328125" style="9"/>
    <col min="7" max="7" width="11" style="9" customWidth="1"/>
    <col min="8" max="8" width="10.33203125" style="9" customWidth="1"/>
    <col min="9" max="16384" width="9.1328125" style="9"/>
  </cols>
  <sheetData>
    <row r="1" spans="1:9" ht="21">
      <c r="A1" s="441" t="s">
        <v>127</v>
      </c>
      <c r="B1" s="441"/>
      <c r="C1" s="441"/>
      <c r="D1" s="441"/>
      <c r="E1" s="441"/>
      <c r="F1" s="441"/>
      <c r="G1" s="441"/>
      <c r="H1" s="441"/>
      <c r="I1" s="441"/>
    </row>
    <row r="3" spans="1:9" ht="18">
      <c r="A3" s="442" t="str">
        <f>Control!B22</f>
        <v>Training Grant</v>
      </c>
      <c r="B3" s="442"/>
      <c r="C3" s="442"/>
      <c r="D3" s="442"/>
      <c r="E3" s="442"/>
      <c r="F3" s="442"/>
      <c r="G3" s="442"/>
      <c r="H3" s="442"/>
      <c r="I3" s="442"/>
    </row>
    <row r="5" spans="1:9" ht="18">
      <c r="A5" s="442" t="s">
        <v>128</v>
      </c>
      <c r="B5" s="442"/>
      <c r="C5" s="442"/>
      <c r="D5" s="442"/>
      <c r="E5" s="442"/>
      <c r="F5" s="442"/>
      <c r="G5" s="442"/>
      <c r="H5" s="442"/>
      <c r="I5" s="442"/>
    </row>
    <row r="7" spans="1:9" s="8" customFormat="1">
      <c r="A7" s="8" t="s">
        <v>129</v>
      </c>
      <c r="B7" s="8" t="str">
        <f>Control!B5</f>
        <v xml:space="preserve"> </v>
      </c>
      <c r="D7" s="8" t="s">
        <v>176</v>
      </c>
      <c r="E7" s="8" t="s">
        <v>177</v>
      </c>
      <c r="G7" s="8" t="s">
        <v>130</v>
      </c>
      <c r="H7" s="160">
        <f>Control!B50</f>
        <v>0</v>
      </c>
    </row>
    <row r="9" spans="1:9" s="8" customFormat="1">
      <c r="A9" s="8" t="s">
        <v>131</v>
      </c>
      <c r="B9" s="8" t="str">
        <f>Control!B13</f>
        <v xml:space="preserve"> </v>
      </c>
      <c r="G9" s="8" t="s">
        <v>132</v>
      </c>
      <c r="H9" s="232" t="str">
        <f>Control!B2</f>
        <v xml:space="preserve"> </v>
      </c>
    </row>
    <row r="10" spans="1:9">
      <c r="B10" s="9" t="str">
        <f>CONCATENATE(Control!B14,", ",Control!B15,", ",Control!B16," ",Control!B17," ",Control!B18)</f>
        <v xml:space="preserve">, ,   </v>
      </c>
    </row>
    <row r="13" spans="1:9">
      <c r="A13" s="8" t="s">
        <v>133</v>
      </c>
      <c r="B13" s="8"/>
      <c r="C13" s="8"/>
      <c r="D13" s="161" t="str">
        <f>Control!B27</f>
        <v xml:space="preserve"> </v>
      </c>
    </row>
    <row r="14" spans="1:9">
      <c r="A14" s="8" t="s">
        <v>134</v>
      </c>
      <c r="B14" s="8"/>
      <c r="C14" s="8"/>
      <c r="D14" s="161" t="str">
        <f>Control!B28</f>
        <v xml:space="preserve"> </v>
      </c>
    </row>
    <row r="16" spans="1:9">
      <c r="A16" s="8" t="s">
        <v>135</v>
      </c>
      <c r="B16" s="8"/>
      <c r="C16" s="114">
        <f>Control!B3</f>
        <v>1</v>
      </c>
    </row>
    <row r="17" spans="1:9">
      <c r="A17" s="8" t="s">
        <v>136</v>
      </c>
      <c r="B17" s="8"/>
      <c r="C17" s="161" t="str">
        <f>Control!B40</f>
        <v xml:space="preserve"> </v>
      </c>
      <c r="D17" s="161"/>
    </row>
    <row r="20" spans="1:9" ht="47.25" customHeight="1">
      <c r="A20" s="443" t="str">
        <f>CONCATENATE("I conducted a virtual validation on ",TEXT(Control!B54,"dd mmmm yyy"), " and carried out an inspection on buildings, plant and machinery for which the Company's accountants have certified expenditure as follows")</f>
        <v>I conducted a virtual validation on 00 January 1900 and carried out an inspection on buildings, plant and machinery for which the Company's accountants have certified expenditure as follows</v>
      </c>
      <c r="B20" s="443"/>
      <c r="C20" s="443"/>
      <c r="D20" s="443"/>
      <c r="E20" s="443"/>
      <c r="F20" s="443"/>
      <c r="G20" s="443"/>
      <c r="H20" s="443"/>
      <c r="I20" s="443"/>
    </row>
    <row r="22" spans="1:9">
      <c r="A22" s="8" t="s">
        <v>137</v>
      </c>
      <c r="B22" s="9" t="s">
        <v>178</v>
      </c>
      <c r="D22" s="217">
        <v>0</v>
      </c>
    </row>
    <row r="23" spans="1:9">
      <c r="A23" s="8"/>
      <c r="B23" s="9" t="s">
        <v>179</v>
      </c>
      <c r="D23" s="217">
        <f>Control!D38</f>
        <v>0</v>
      </c>
    </row>
    <row r="24" spans="1:9">
      <c r="A24" s="8"/>
    </row>
    <row r="26" spans="1:9">
      <c r="A26" s="9" t="s">
        <v>138</v>
      </c>
      <c r="C26" s="161"/>
      <c r="D26" s="161">
        <v>42794</v>
      </c>
    </row>
    <row r="27" spans="1:9">
      <c r="A27" s="9" t="s">
        <v>139</v>
      </c>
      <c r="C27" s="161"/>
      <c r="D27" s="161" t="str">
        <f>D13</f>
        <v xml:space="preserve"> </v>
      </c>
      <c r="G27" s="9" t="s">
        <v>180</v>
      </c>
      <c r="H27" s="161" t="str">
        <f>D14</f>
        <v xml:space="preserve"> </v>
      </c>
    </row>
    <row r="29" spans="1:9">
      <c r="A29" s="9" t="s">
        <v>140</v>
      </c>
    </row>
    <row r="31" spans="1:9">
      <c r="A31" s="8" t="s">
        <v>333</v>
      </c>
      <c r="B31" s="407"/>
      <c r="C31" s="9" t="s">
        <v>334</v>
      </c>
      <c r="D31"/>
      <c r="E31"/>
      <c r="F31"/>
    </row>
    <row r="32" spans="1:9">
      <c r="A32"/>
      <c r="B32"/>
      <c r="C32" s="9" t="s">
        <v>335</v>
      </c>
      <c r="D32"/>
      <c r="E32"/>
      <c r="F32"/>
    </row>
    <row r="33" spans="1:9">
      <c r="A33" s="216"/>
      <c r="B33" s="216"/>
      <c r="C33" s="408" t="s">
        <v>336</v>
      </c>
      <c r="D33" s="216"/>
      <c r="E33" s="216"/>
      <c r="F33" s="216"/>
      <c r="G33" s="216"/>
      <c r="H33" s="216"/>
      <c r="I33" s="216"/>
    </row>
    <row r="34" spans="1:9">
      <c r="A34"/>
      <c r="B34"/>
      <c r="C34" s="9" t="s">
        <v>337</v>
      </c>
      <c r="D34"/>
      <c r="E34"/>
      <c r="F34"/>
    </row>
    <row r="35" spans="1:9">
      <c r="A35" s="8"/>
      <c r="B35"/>
      <c r="C35"/>
      <c r="D35"/>
      <c r="E35"/>
      <c r="F35"/>
    </row>
    <row r="37" spans="1:9">
      <c r="A37" s="216"/>
      <c r="B37" s="216"/>
      <c r="C37" s="216"/>
      <c r="D37" s="216"/>
      <c r="E37" s="216"/>
      <c r="F37" s="216"/>
      <c r="G37" s="216"/>
      <c r="H37" s="216"/>
      <c r="I37" s="216"/>
    </row>
    <row r="39" spans="1:9">
      <c r="A39" s="8" t="s">
        <v>270</v>
      </c>
      <c r="B39"/>
      <c r="C39" s="9" t="str">
        <f>Control!B5</f>
        <v xml:space="preserve"> </v>
      </c>
      <c r="D39"/>
      <c r="E39"/>
      <c r="F39"/>
    </row>
  </sheetData>
  <mergeCells count="4">
    <mergeCell ref="A1:I1"/>
    <mergeCell ref="A3:I3"/>
    <mergeCell ref="A5:I5"/>
    <mergeCell ref="A20:I20"/>
  </mergeCells>
  <pageMargins left="0.70866141732283472" right="0.70866141732283472" top="0.74803149606299213" bottom="0.74803149606299213" header="0.31496062992125984" footer="0.31496062992125984"/>
  <pageSetup paperSize="9" scale="99" orientation="portrait" r:id="rId1"/>
  <ignoredErrors>
    <ignoredError sqref="H7 B9:B10 H9 H27 D27 D23 C16:C17 D13:D14 B7 A20 A3 C3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8"/>
  <sheetViews>
    <sheetView topLeftCell="A21" workbookViewId="0">
      <selection activeCell="A15" sqref="A15"/>
    </sheetView>
  </sheetViews>
  <sheetFormatPr defaultColWidth="9.1328125" defaultRowHeight="14.25"/>
  <cols>
    <col min="1" max="1" width="14.46484375" style="218" customWidth="1"/>
    <col min="2" max="2" width="14.33203125" style="218" customWidth="1"/>
    <col min="3" max="3" width="11.6640625" style="218" customWidth="1"/>
    <col min="4" max="4" width="15.53125" style="218" customWidth="1"/>
    <col min="5" max="5" width="14.33203125" style="218" customWidth="1"/>
    <col min="6" max="6" width="15.53125" style="218" customWidth="1"/>
    <col min="7" max="7" width="19.1328125" style="218" customWidth="1"/>
    <col min="8" max="8" width="10.1328125" style="218" customWidth="1"/>
    <col min="9" max="9" width="9.53125" style="218" bestFit="1" customWidth="1"/>
    <col min="10" max="16384" width="9.1328125" style="218"/>
  </cols>
  <sheetData>
    <row r="1" spans="1:8" ht="14.65" thickBot="1"/>
    <row r="2" spans="1:8" ht="21.4" thickBot="1">
      <c r="D2" s="435" t="s">
        <v>123</v>
      </c>
      <c r="E2" s="436"/>
      <c r="F2" s="436"/>
      <c r="G2" s="437"/>
    </row>
    <row r="3" spans="1:8">
      <c r="D3" s="125"/>
      <c r="E3" s="125"/>
      <c r="F3" s="125"/>
      <c r="G3" s="125"/>
    </row>
    <row r="4" spans="1:8" ht="18">
      <c r="D4" s="47" t="s">
        <v>69</v>
      </c>
      <c r="E4" s="128" t="str">
        <f>'Cover Sheet (T)'!C12</f>
        <v xml:space="preserve"> </v>
      </c>
      <c r="F4" s="234"/>
      <c r="G4" s="234"/>
    </row>
    <row r="5" spans="1:8" ht="18">
      <c r="D5" s="2" t="s">
        <v>70</v>
      </c>
      <c r="E5" s="128" t="str">
        <f>'Cover Sheet (T)'!C24</f>
        <v xml:space="preserve"> </v>
      </c>
      <c r="F5"/>
      <c r="G5"/>
    </row>
    <row r="6" spans="1:8" ht="18">
      <c r="D6" s="47" t="s">
        <v>71</v>
      </c>
      <c r="E6" s="235">
        <f>Control!B3</f>
        <v>1</v>
      </c>
      <c r="F6" s="47"/>
      <c r="G6" s="47"/>
    </row>
    <row r="8" spans="1:8" ht="21">
      <c r="A8" s="444" t="s">
        <v>181</v>
      </c>
      <c r="B8" s="444"/>
      <c r="C8" s="444"/>
      <c r="D8" s="444"/>
      <c r="E8" s="444"/>
      <c r="F8" s="444"/>
      <c r="G8" s="444"/>
    </row>
    <row r="9" spans="1:8">
      <c r="A9" s="169"/>
    </row>
    <row r="10" spans="1:8" s="219" customFormat="1">
      <c r="A10" s="131" t="s">
        <v>116</v>
      </c>
      <c r="C10" s="233" t="e">
        <f>'Payment Report'!D55</f>
        <v>#VALUE!</v>
      </c>
      <c r="D10" s="131" t="s">
        <v>190</v>
      </c>
      <c r="G10" s="220" t="str">
        <f>CONCATENATE(TEXT(Control!B26,"00.00%")," of ",TEXT(Control!B38,"€ #,###")," =")</f>
        <v xml:space="preserve">  of €  =</v>
      </c>
      <c r="H10" s="233" t="e">
        <f>Control!B38*Control!B26</f>
        <v>#VALUE!</v>
      </c>
    </row>
    <row r="12" spans="1:8" s="223" customFormat="1" ht="57">
      <c r="A12" s="221"/>
      <c r="B12" s="222" t="s">
        <v>75</v>
      </c>
      <c r="C12" s="222" t="s">
        <v>182</v>
      </c>
      <c r="D12" s="222" t="s">
        <v>183</v>
      </c>
      <c r="E12" s="222" t="s">
        <v>184</v>
      </c>
      <c r="F12" s="222" t="s">
        <v>185</v>
      </c>
      <c r="G12" s="222" t="s">
        <v>186</v>
      </c>
    </row>
    <row r="13" spans="1:8" s="169" customFormat="1">
      <c r="A13" s="224"/>
      <c r="B13" s="225"/>
      <c r="C13" s="225"/>
      <c r="D13" s="225"/>
      <c r="E13" s="225"/>
      <c r="F13" s="225"/>
      <c r="G13" s="225"/>
    </row>
    <row r="14" spans="1:8" s="3" customFormat="1" ht="28.5">
      <c r="A14" s="226" t="s">
        <v>187</v>
      </c>
      <c r="B14" s="227">
        <f>Control!B38</f>
        <v>0</v>
      </c>
      <c r="C14" s="61">
        <f>IF(Control!$B$3&gt;1,Control!F38,0)</f>
        <v>0</v>
      </c>
      <c r="D14" s="227">
        <f>Control!D38</f>
        <v>0</v>
      </c>
      <c r="E14" s="61">
        <f>IF(Control!$B$3&gt;1,Control!G38,0)</f>
        <v>0</v>
      </c>
      <c r="F14" s="227">
        <f>'Current Claim'!H28</f>
        <v>0</v>
      </c>
      <c r="G14" s="228">
        <f t="shared" ref="G14:G15" si="0">E14+F14</f>
        <v>0</v>
      </c>
    </row>
    <row r="15" spans="1:8" s="3" customFormat="1">
      <c r="A15" s="229" t="s">
        <v>188</v>
      </c>
      <c r="B15" s="227">
        <v>0</v>
      </c>
      <c r="C15" s="227">
        <v>0</v>
      </c>
      <c r="D15" s="227">
        <v>0</v>
      </c>
      <c r="E15" s="227">
        <v>0</v>
      </c>
      <c r="F15" s="227">
        <v>0</v>
      </c>
      <c r="G15" s="228">
        <f t="shared" si="0"/>
        <v>0</v>
      </c>
    </row>
    <row r="16" spans="1:8" s="3" customFormat="1">
      <c r="A16" s="226"/>
      <c r="B16" s="227"/>
      <c r="C16" s="227"/>
      <c r="D16" s="227"/>
      <c r="E16" s="227"/>
      <c r="F16" s="227"/>
      <c r="G16" s="228"/>
    </row>
    <row r="17" spans="1:7" s="3" customFormat="1">
      <c r="A17" s="226" t="s">
        <v>0</v>
      </c>
      <c r="B17" s="228">
        <f t="shared" ref="B17:G17" si="1">SUM(B14:B16)</f>
        <v>0</v>
      </c>
      <c r="C17" s="228">
        <f t="shared" si="1"/>
        <v>0</v>
      </c>
      <c r="D17" s="228">
        <f t="shared" si="1"/>
        <v>0</v>
      </c>
      <c r="E17" s="228">
        <f t="shared" si="1"/>
        <v>0</v>
      </c>
      <c r="F17" s="228">
        <f t="shared" si="1"/>
        <v>0</v>
      </c>
      <c r="G17" s="228">
        <f t="shared" si="1"/>
        <v>0</v>
      </c>
    </row>
    <row r="18" spans="1:7" s="169" customFormat="1"/>
    <row r="19" spans="1:7" s="169" customFormat="1">
      <c r="A19" s="230" t="s">
        <v>189</v>
      </c>
    </row>
    <row r="20" spans="1:7" s="169" customFormat="1">
      <c r="A20" s="231"/>
      <c r="B20" s="231"/>
      <c r="C20" s="231"/>
      <c r="D20" s="231"/>
      <c r="E20" s="231"/>
      <c r="F20" s="231"/>
      <c r="G20" s="231"/>
    </row>
    <row r="21" spans="1:7" s="169" customFormat="1">
      <c r="A21" s="169" t="str">
        <f>CONCATENATE("Paragraph 16 of the grant agreement:  The company must maintain ",Control!B45," jobs.")</f>
        <v>Paragraph 16 of the grant agreement:  The company must maintain  jobs.</v>
      </c>
      <c r="B21" s="231"/>
      <c r="C21" s="231"/>
      <c r="D21" s="231"/>
      <c r="E21" s="231"/>
      <c r="F21" s="231"/>
      <c r="G21" s="231"/>
    </row>
    <row r="22" spans="1:7" s="169" customFormat="1">
      <c r="A22" s="231"/>
      <c r="B22" s="231"/>
      <c r="C22" s="231"/>
      <c r="D22" s="231"/>
      <c r="E22" s="231"/>
      <c r="F22" s="231"/>
      <c r="G22" s="231"/>
    </row>
    <row r="23" spans="1:7" s="169" customFormat="1">
      <c r="A23" s="243" t="e">
        <f>CONCATENATE("I can confirm there are ",Control!D45," employees on the ",TEXT(Control!B54-30,"mmmm yyy")," payroll.")</f>
        <v>#VALUE!</v>
      </c>
      <c r="B23" s="231"/>
      <c r="C23" s="231"/>
      <c r="D23" s="231"/>
      <c r="E23" s="231"/>
      <c r="F23" s="231"/>
      <c r="G23" s="231"/>
    </row>
    <row r="24" spans="1:7" s="169" customFormat="1">
      <c r="A24" s="231"/>
      <c r="B24" s="231"/>
      <c r="C24" s="231"/>
      <c r="D24" s="231"/>
      <c r="E24" s="231"/>
      <c r="F24" s="231"/>
      <c r="G24" s="231"/>
    </row>
    <row r="25" spans="1:7" s="169" customFormat="1">
      <c r="A25" s="231"/>
      <c r="B25" s="231"/>
      <c r="C25" s="231"/>
      <c r="D25" s="231"/>
      <c r="E25" s="231"/>
      <c r="F25" s="231"/>
      <c r="G25" s="231"/>
    </row>
    <row r="26" spans="1:7" s="169" customFormat="1">
      <c r="A26" s="231"/>
      <c r="B26" s="231"/>
      <c r="C26" s="231"/>
      <c r="D26" s="231"/>
      <c r="E26" s="231"/>
      <c r="F26" s="231"/>
      <c r="G26" s="231"/>
    </row>
    <row r="27" spans="1:7" s="169" customFormat="1">
      <c r="A27" s="231"/>
      <c r="B27" s="231"/>
      <c r="C27" s="231"/>
      <c r="D27" s="231"/>
      <c r="E27" s="231"/>
      <c r="F27" s="231"/>
      <c r="G27" s="231"/>
    </row>
    <row r="28" spans="1:7" s="169" customFormat="1">
      <c r="A28" s="231"/>
      <c r="B28" s="231"/>
      <c r="C28" s="231"/>
      <c r="D28" s="231"/>
      <c r="E28" s="231"/>
      <c r="F28" s="231"/>
      <c r="G28" s="231"/>
    </row>
    <row r="29" spans="1:7" s="169" customFormat="1">
      <c r="A29" s="231"/>
      <c r="B29" s="231"/>
      <c r="C29" s="231"/>
      <c r="D29" s="231"/>
      <c r="E29" s="231"/>
      <c r="F29" s="231"/>
      <c r="G29" s="231"/>
    </row>
    <row r="30" spans="1:7" s="169" customFormat="1">
      <c r="A30" s="231"/>
      <c r="B30" s="231"/>
      <c r="C30" s="231"/>
      <c r="D30" s="231"/>
      <c r="E30" s="231"/>
      <c r="F30" s="231"/>
      <c r="G30" s="231"/>
    </row>
    <row r="31" spans="1:7" s="169" customFormat="1">
      <c r="A31" s="231"/>
      <c r="B31" s="231"/>
      <c r="C31" s="231"/>
      <c r="D31" s="231"/>
      <c r="E31" s="231"/>
      <c r="F31" s="231"/>
      <c r="G31" s="231"/>
    </row>
    <row r="32" spans="1:7" s="169" customFormat="1"/>
    <row r="33" s="169" customFormat="1"/>
    <row r="34" s="169" customFormat="1"/>
    <row r="35" s="169" customFormat="1"/>
    <row r="36" s="169" customFormat="1"/>
    <row r="37" s="169" customFormat="1"/>
    <row r="38" s="169" customFormat="1"/>
  </sheetData>
  <sheetProtection formatCells="0" formatColumns="0" formatRows="0" insertColumns="0" insertRows="0" insertHyperlinks="0" deleteColumns="0" deleteRows="0" selectLockedCells="1" sort="0"/>
  <mergeCells count="2">
    <mergeCell ref="A8:G8"/>
    <mergeCell ref="D2:G2"/>
  </mergeCells>
  <pageMargins left="0.70866141732283472" right="0.70866141732283472" top="0.74803149606299213" bottom="0.74803149606299213" header="0.31496062992125984" footer="0.31496062992125984"/>
  <pageSetup paperSize="9" scale="86" orientation="portrait" r:id="rId1"/>
  <ignoredErrors>
    <ignoredError sqref="D14 B14 F14 G1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25</vt:i4>
      </vt:variant>
    </vt:vector>
  </HeadingPairs>
  <TitlesOfParts>
    <vt:vector size="42" baseType="lpstr">
      <vt:lpstr>Control</vt:lpstr>
      <vt:lpstr>Cover Sheet (T)</vt:lpstr>
      <vt:lpstr>Current Claim</vt:lpstr>
      <vt:lpstr>Claim History</vt:lpstr>
      <vt:lpstr>Summary </vt:lpstr>
      <vt:lpstr>Payment Report</vt:lpstr>
      <vt:lpstr>Payment Letter</vt:lpstr>
      <vt:lpstr>Inspection P1</vt:lpstr>
      <vt:lpstr>P2</vt:lpstr>
      <vt:lpstr>Special Conditions Memo</vt:lpstr>
      <vt:lpstr>Validation process</vt:lpstr>
      <vt:lpstr>Proposed Reallocation</vt:lpstr>
      <vt:lpstr>Inspection Agenda</vt:lpstr>
      <vt:lpstr>Lease Confirm</vt:lpstr>
      <vt:lpstr>Incorporation Confirm</vt:lpstr>
      <vt:lpstr>Early Warning Clearance</vt:lpstr>
      <vt:lpstr>New Control Card</vt:lpstr>
      <vt:lpstr>'Early Warning Clearance'!FaxDate</vt:lpstr>
      <vt:lpstr>'Incorporation Confirm'!FaxDate</vt:lpstr>
      <vt:lpstr>'Lease Confirm'!FaxDate</vt:lpstr>
      <vt:lpstr>'Early Warning Clearance'!FaxFrom</vt:lpstr>
      <vt:lpstr>'Incorporation Confirm'!FaxFrom</vt:lpstr>
      <vt:lpstr>'Lease Confirm'!FaxFrom</vt:lpstr>
      <vt:lpstr>'Early Warning Clearance'!FaxSubject</vt:lpstr>
      <vt:lpstr>'Incorporation Confirm'!FaxSubject</vt:lpstr>
      <vt:lpstr>'Lease Confirm'!FaxSubject</vt:lpstr>
      <vt:lpstr>'Early Warning Clearance'!FaxTo</vt:lpstr>
      <vt:lpstr>'Incorporation Confirm'!FaxTo</vt:lpstr>
      <vt:lpstr>'Lease Confirm'!FaxTo</vt:lpstr>
      <vt:lpstr>'Special Conditions Memo'!MemoDate</vt:lpstr>
      <vt:lpstr>'Special Conditions Memo'!MemoStart</vt:lpstr>
      <vt:lpstr>'Special Conditions Memo'!MemoSubject</vt:lpstr>
      <vt:lpstr>'Special Conditions Memo'!MemoTo</vt:lpstr>
      <vt:lpstr>'New Control Card'!Print_Area</vt:lpstr>
      <vt:lpstr>'Payment Letter'!Print_Area</vt:lpstr>
      <vt:lpstr>'Payment Report'!Print_Area</vt:lpstr>
      <vt:lpstr>'Special Conditions Memo'!Print_Area</vt:lpstr>
      <vt:lpstr>'Validation process'!Print_Area</vt:lpstr>
      <vt:lpstr>'Early Warning Clearance'!StartFax</vt:lpstr>
      <vt:lpstr>'Incorporation Confirm'!StartFax</vt:lpstr>
      <vt:lpstr>'Lease Confirm'!StartFax</vt:lpstr>
      <vt:lpstr>Type</vt:lpstr>
    </vt:vector>
  </TitlesOfParts>
  <Company>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IDA</dc:creator>
  <cp:lastModifiedBy>White, Pearse</cp:lastModifiedBy>
  <cp:lastPrinted>2019-04-04T08:41:41Z</cp:lastPrinted>
  <dcterms:created xsi:type="dcterms:W3CDTF">2012-03-26T14:08:46Z</dcterms:created>
  <dcterms:modified xsi:type="dcterms:W3CDTF">2025-03-07T10:20:27Z</dcterms:modified>
</cp:coreProperties>
</file>